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90" windowHeight="4185" tabRatio="622" firstSheet="3" activeTab="3"/>
  </bookViews>
  <sheets>
    <sheet name="PUVODNI" sheetId="1" r:id="rId1"/>
    <sheet name="RK-xx-2011-xx, př. 2 před doho " sheetId="2" r:id="rId2"/>
    <sheet name="RK-xx-2011-xx, př. 2 konecny" sheetId="3" r:id="rId3"/>
    <sheet name="RK-12-2012-31, př. 2" sheetId="4" r:id="rId4"/>
  </sheets>
  <definedNames>
    <definedName name="_xlnm.Print_Titles" localSheetId="3">'RK-12-2012-31, př. 2'!$3:$8</definedName>
    <definedName name="_xlnm.Print_Area" localSheetId="0">'PUVODNI'!$A$1:$V$256</definedName>
    <definedName name="_xlnm.Print_Area" localSheetId="3">'RK-12-2012-31, př. 2'!$A$1:$V$99</definedName>
    <definedName name="_xlnm.Print_Area" localSheetId="2">'RK-xx-2011-xx, př. 2 konecny'!$A$1:$V$257</definedName>
    <definedName name="_xlnm.Print_Area" localSheetId="1">'RK-xx-2011-xx, př. 2 před doho '!$A$1:$V$257</definedName>
  </definedNames>
  <calcPr fullCalcOnLoad="1"/>
</workbook>
</file>

<file path=xl/sharedStrings.xml><?xml version="1.0" encoding="utf-8"?>
<sst xmlns="http://schemas.openxmlformats.org/spreadsheetml/2006/main" count="1380" uniqueCount="283">
  <si>
    <t>Organizace</t>
  </si>
  <si>
    <t>Gymnázium Chotěboř</t>
  </si>
  <si>
    <t>Gymnázium Jihlava</t>
  </si>
  <si>
    <t>Gymnázium Pacov</t>
  </si>
  <si>
    <t>Gymnázium Pelhřimov</t>
  </si>
  <si>
    <t>Gymnázium Třebíč</t>
  </si>
  <si>
    <t>DDM Jihlava</t>
  </si>
  <si>
    <t>Plavecká škola Jihlava</t>
  </si>
  <si>
    <t>/v tis. Kč/</t>
  </si>
  <si>
    <t>Investiční fond</t>
  </si>
  <si>
    <t>Rezervní fond</t>
  </si>
  <si>
    <t>FKSP</t>
  </si>
  <si>
    <t>Fond odměn</t>
  </si>
  <si>
    <t>Použití</t>
  </si>
  <si>
    <t>§3114 - celkem</t>
  </si>
  <si>
    <t>§3121 - celkem</t>
  </si>
  <si>
    <t xml:space="preserve"> </t>
  </si>
  <si>
    <t>§ 3122 - celkem</t>
  </si>
  <si>
    <t>§ 3123 - celkem</t>
  </si>
  <si>
    <t>§ 3125 - celkem</t>
  </si>
  <si>
    <t>§ 3146 - celkem</t>
  </si>
  <si>
    <t>PPP Jihlava</t>
  </si>
  <si>
    <t>PPP Pelhřimov</t>
  </si>
  <si>
    <t>PPP Třebíč</t>
  </si>
  <si>
    <t>§ 3147 - celkem</t>
  </si>
  <si>
    <t>§ 3149- celkem</t>
  </si>
  <si>
    <t>§ 3231 - celkem</t>
  </si>
  <si>
    <t>§ 3421 - celkem</t>
  </si>
  <si>
    <t>§ 4322 - celkem</t>
  </si>
  <si>
    <t>Celkem</t>
  </si>
  <si>
    <t>fondu</t>
  </si>
  <si>
    <t>Gymnázium Velké Meziříčí</t>
  </si>
  <si>
    <t>Gymnázium Žďár nad Sázavou</t>
  </si>
  <si>
    <t>PPP Žďár nad Sázavou</t>
  </si>
  <si>
    <t>SOŠ a SOU Třešť</t>
  </si>
  <si>
    <t>Střední škola technická Jihlava</t>
  </si>
  <si>
    <t>Střední škola stavební Jihlava</t>
  </si>
  <si>
    <t>Střední škola Pelhřimov</t>
  </si>
  <si>
    <t>Hotelová škola Třebíč</t>
  </si>
  <si>
    <t>Střední škola řemesel Třebíč</t>
  </si>
  <si>
    <t>SOŠ Nové Město na Moravě</t>
  </si>
  <si>
    <t>§ 3124 - celkem</t>
  </si>
  <si>
    <t>ZŠ a MŠ při ZZ kraje Vysočina</t>
  </si>
  <si>
    <t>DD, Nová Ves u Chotěboře 1</t>
  </si>
  <si>
    <t>DD, Telč, Štěpnická 111</t>
  </si>
  <si>
    <t>DD, Humpolec, Libická 928</t>
  </si>
  <si>
    <t>DD, Senožaty 199</t>
  </si>
  <si>
    <t>DD, Budkov 1</t>
  </si>
  <si>
    <t>DD, Hrotovice, Sokolská 362</t>
  </si>
  <si>
    <t>DD, Jemnice, Třešňová 748</t>
  </si>
  <si>
    <t>DD, Rovečné 40</t>
  </si>
  <si>
    <r>
      <t xml:space="preserve">Odvětví: </t>
    </r>
    <r>
      <rPr>
        <b/>
        <sz val="12"/>
        <rFont val="Arial"/>
        <family val="2"/>
      </rPr>
      <t>školství</t>
    </r>
  </si>
  <si>
    <t>§ 3299 - celkem</t>
  </si>
  <si>
    <t>Obchodní akademie, Pelhřimov, Jirsíkova 875</t>
  </si>
  <si>
    <t>OU a Prakt. škola, Černovice, Mariánské nám. 72</t>
  </si>
  <si>
    <t>Plavecká škola, krytý bazén Hájek, Mládežnická 2, Třebíč</t>
  </si>
  <si>
    <t>DD, Náměšť n/ Osl., Krátká 284</t>
  </si>
  <si>
    <t>ZŠ Humpolec, Husova 391</t>
  </si>
  <si>
    <t>k 31.12.2009</t>
  </si>
  <si>
    <t>techn. zhodnoc. nemov. majetku</t>
  </si>
  <si>
    <t>údržba a opravy majetku, který PO používá k činnosti</t>
  </si>
  <si>
    <t xml:space="preserve">název akce </t>
  </si>
  <si>
    <t>v tis.Kč</t>
  </si>
  <si>
    <t>v tis. Kč</t>
  </si>
  <si>
    <t xml:space="preserve">§3121 </t>
  </si>
  <si>
    <t>Gymnázium Havlíčkův Brod</t>
  </si>
  <si>
    <t xml:space="preserve">§ 3122 </t>
  </si>
  <si>
    <t>Střední škola stavební Třebíč</t>
  </si>
  <si>
    <t xml:space="preserve">§ 3123 </t>
  </si>
  <si>
    <t>SOU technické, Chotěboř, Žižkova 1501</t>
  </si>
  <si>
    <t>Střední škola řemesel a služeb Moravské Budějovice</t>
  </si>
  <si>
    <t>Školní statek, Humpolec, Dusilov 384</t>
  </si>
  <si>
    <t xml:space="preserve">§ 3146 </t>
  </si>
  <si>
    <t>§ 3149</t>
  </si>
  <si>
    <t xml:space="preserve">§ 3231 </t>
  </si>
  <si>
    <t>§ 3299</t>
  </si>
  <si>
    <t xml:space="preserve">§ 3421 </t>
  </si>
  <si>
    <t xml:space="preserve">§ 4322 </t>
  </si>
  <si>
    <r>
      <t>Tvorba</t>
    </r>
    <r>
      <rPr>
        <vertAlign val="superscript"/>
        <sz val="10"/>
        <rFont val="Arial"/>
        <family val="2"/>
      </rPr>
      <t>1</t>
    </r>
    <r>
      <rPr>
        <b/>
        <vertAlign val="superscript"/>
        <sz val="10"/>
        <rFont val="Arial"/>
        <family val="2"/>
      </rPr>
      <t>) celkem</t>
    </r>
  </si>
  <si>
    <t>celkem vč. odvodu</t>
  </si>
  <si>
    <r>
      <t>Tvorba</t>
    </r>
    <r>
      <rPr>
        <b/>
        <vertAlign val="superscript"/>
        <sz val="10"/>
        <rFont val="Arial"/>
        <family val="2"/>
      </rPr>
      <t xml:space="preserve"> celkem</t>
    </r>
  </si>
  <si>
    <t>Použití celkem</t>
  </si>
  <si>
    <t>Gymnázium Bystřice nad Pernštejnem</t>
  </si>
  <si>
    <t>Česká zemědělská akademie v Humpolci, střední škola</t>
  </si>
  <si>
    <t>OA a Hotelová škola Havlíčkův Brod</t>
  </si>
  <si>
    <t>Pořízení movitého majetku</t>
  </si>
  <si>
    <t>Technické zhodnocení nem. maj., údržba a opravy maj., který PO používá k činnosti</t>
  </si>
  <si>
    <t>pořízení movitého majetku</t>
  </si>
  <si>
    <t>Střední škola automobilní Jihlava</t>
  </si>
  <si>
    <t>Stř. škola obchodu a služeb Jihlava</t>
  </si>
  <si>
    <t>Střední škola Kamenice nad Lipou</t>
  </si>
  <si>
    <t>SŠ řemesel a služeb Moravské Budějovice</t>
  </si>
  <si>
    <t>Střední škola technická Žďár nad Sázavou</t>
  </si>
  <si>
    <t>Střední škola řemesel a služeb Velké Meziříčí</t>
  </si>
  <si>
    <t>Akademie - VOŠ, Gy a SOŠ uměleckoprům. Světlá nad Sáz.</t>
  </si>
  <si>
    <t>Gymnázium, SOŠ a VOŠ Ledeč nad Sáz.</t>
  </si>
  <si>
    <t>Gymnázium Otokara Březiny a SOŠ Telč</t>
  </si>
  <si>
    <t>Gymnázium dr. A. Hrdličky, Humpolec, Komenského 147</t>
  </si>
  <si>
    <t>Gymnázium dr. A. Hrdličky, Humpolec, Kom.147</t>
  </si>
  <si>
    <t>Gymnázium a SOŠ, Mor. Budějovice, Tyršova 365</t>
  </si>
  <si>
    <t>Gymnázium Vincence Makovského se sportovními třídami Nové Město na Moravě</t>
  </si>
  <si>
    <t>Gymnázium a SOŠ, Moravské Budějovice, Tyršova 365</t>
  </si>
  <si>
    <t xml:space="preserve">                    počet stran: 7</t>
  </si>
  <si>
    <t>ZŠ Moravské  Budějovice, Dobrovského 11</t>
  </si>
  <si>
    <t>ZŠ Ledeč nad Sázavou,  Habrecká 378</t>
  </si>
  <si>
    <t>ZŠ Pelhřimov, Komenského 1326</t>
  </si>
  <si>
    <t>ZŠ speciální a Praktická škola Černovice</t>
  </si>
  <si>
    <t>Praktická škola a SPC Ždár n/Sázavou</t>
  </si>
  <si>
    <t>ZŠ při dětské  psych. léčebně Velká  Bíteš</t>
  </si>
  <si>
    <t>ZŠ Nové Město na Moravě, Malá 154</t>
  </si>
  <si>
    <t>ZŠ a Praktická škola Chotěboř</t>
  </si>
  <si>
    <t>ZŠ Třebíč, Cyrilometodějská  22</t>
  </si>
  <si>
    <t>ZŠ a Praktická škola Velké Meziříčí</t>
  </si>
  <si>
    <t>ZUŠ, Havlíčkův  Brod, Smetanovo náměstí  31</t>
  </si>
  <si>
    <t>ZŠ, SPC a ŠD, U Trojice 2104 Havlíčkův Brod</t>
  </si>
  <si>
    <t>Vyšší odborná škola a Obchodní akademie Chotěboř</t>
  </si>
  <si>
    <t>Střední průmyslová škola stavební akademika Stanislava  Bechyně, Havlíčkův Brod, Jihlavská 628</t>
  </si>
  <si>
    <t>Střední zdravotnická škola a Vyšší odborná škola zdravotnická  Havlíčkův Brod</t>
  </si>
  <si>
    <t>Obchodní akademie a Jazyková škola s právem státní jazykové zkoušky Jihlava</t>
  </si>
  <si>
    <t>Střední průmyslová škola Jihlava</t>
  </si>
  <si>
    <t>Střední uměleckoprůmyslová škola Jihlava - Helenín, Hálkova 42</t>
  </si>
  <si>
    <t>Střední zdravotnická škola a Vyšší odborná škola zdravotnická Jihlava</t>
  </si>
  <si>
    <t>Střední průmyslová škola Třebíč</t>
  </si>
  <si>
    <t>Vyšší odborná škola a Střední škola veterinární, zemědělská a zdravotická Třebíč</t>
  </si>
  <si>
    <t>Hotelová škola Světlá a Obchodní akademie Velké Meziříčí</t>
  </si>
  <si>
    <t>Vyšší odborná škola a Střední odborná škola zemědělsko - technická  Bystřice nad Pernštejnem</t>
  </si>
  <si>
    <t>Střední zdravotnická škola a Vyšší odborná škola zdravotnická  Žďár nad Sázavou</t>
  </si>
  <si>
    <t>Obchodní akademie Dr. Albína Bráfa a Jazyková  škola s právem státní  jazykové  zkoušky Třebíč</t>
  </si>
  <si>
    <t>Vyšší odborná škola a Střední průmyslová škola, Žďár nad Sázavou, Studentská 1</t>
  </si>
  <si>
    <t>Domov mládeže a Školní jídelna Jihlava</t>
  </si>
  <si>
    <t>Vysočina Education, školské zařízení</t>
  </si>
  <si>
    <t>Odborné učiliště a Praktická škola Černovice</t>
  </si>
  <si>
    <t>Akademie - VOŠ, Gy a SOŠ uměleckoprům. Světlá nad Sázavou</t>
  </si>
  <si>
    <t>PPP, Havlíčkův Brod, Nad Tratí 335</t>
  </si>
  <si>
    <t>Dětský domov, Nová Ves u Chotěboře 1</t>
  </si>
  <si>
    <t>Dětský domov, Telč, Štěpnická 111</t>
  </si>
  <si>
    <t>Dětský domov, Humpolec, Libická 928</t>
  </si>
  <si>
    <t>Dětský domov, Senožaty 199</t>
  </si>
  <si>
    <t>Dětský domov, Budkov 1</t>
  </si>
  <si>
    <t>Dětský domov, Hrotovice, Sokolská 362</t>
  </si>
  <si>
    <t>Dětský domov, Jemnice, Třešňová 748</t>
  </si>
  <si>
    <t>Dětský domov, Náměšť nad Oslavou, Krátká 284</t>
  </si>
  <si>
    <t>Dětský domov, Rovečné 40</t>
  </si>
  <si>
    <t>Gymnázium, SOŠ a VOŠ Ledeč nad Sázavou</t>
  </si>
  <si>
    <t>Tvorba a použití peněžních fondů v roce 2011</t>
  </si>
  <si>
    <t>Plán čerpání investičního fondu na rok 2011</t>
  </si>
  <si>
    <t>Zůstatek k 1.1.2011</t>
  </si>
  <si>
    <t>Stav krytí fondu k 31.12.   2010</t>
  </si>
  <si>
    <t>Zůstatek k 31.12.   2011</t>
  </si>
  <si>
    <t>Tvorba vč. zůst. k 1.1.2011</t>
  </si>
  <si>
    <t>Tvorba+stav krytí fondu k 31.12.  2010</t>
  </si>
  <si>
    <t xml:space="preserve">                    RK-xx-2011-xx, př. 2</t>
  </si>
  <si>
    <t>úprava regulace na patě topení dílen Chotěboř 50 tis. Kč, částečná rekonstrukce elektroinstalace a následná oprava příčky učebny elektro 50 tis. Kč</t>
  </si>
  <si>
    <t>nábytkové vybavení DM pracoviště Bratříků 340 tis. Kč, varná technologie (kotel, pánev) gastrocentrum pracoviště Kyjovská 250 tis. Kč</t>
  </si>
  <si>
    <t>dokončení přístřešku u tělocvičny 220 tis. Kč, stavební úprava truhlárna 100 tis. Kč, vybudování výstavního sálu a zlatnické dílny 500 tis. Kč, oprava komínů a omítek pracoviště Lipnice nad Sázavou 100 tis. Kč, oprava rozvodů vody 150 tis. Kč</t>
  </si>
  <si>
    <t>drobné stavební úpravy 100 tis. Kč, výměna rozvodu vody pro školní kuchyni 110 tis. Kč</t>
  </si>
  <si>
    <t>stravovací systém 300 tis. Kč</t>
  </si>
  <si>
    <t>6 ks měřících stanic - vybavení laboratoře elektrotechnického měření 660 tis. Kč (125 tis. Kč investiční dotace)</t>
  </si>
  <si>
    <t>rekonstrukce podlah části nově zateplené haly praktické výuky 846 tis. Kč</t>
  </si>
  <si>
    <t>osobní vozidlo vícemístné pro přepravu žáků - výměna za vyřazené 480 tis. Kč, soubor 16 ks počítačů (vybavení učebny) 320 tis. Kč</t>
  </si>
  <si>
    <t>odhlučnění CNC učebny Křemešnická ul. 100 tis. Kč,vstupní zabezpečovací systém Křemešnická 150 tis. Kč, vstupní zabezpečovací systém Růžová 150 tis. Kč, místní rozhlas na DM 100 tis. Kč, konstrukce stupňovité podlahy se stoly a lavicemi posluchárna Růžová 600 tis. Kč, osvětlení tělocvična 600 tis. Kč</t>
  </si>
  <si>
    <t>oprava rozvodu teplé vody školní jídelny 250 tis. Kč, výměna podlahových krytin domova mládeže 350 tis. Kč</t>
  </si>
  <si>
    <t>výmalba 100 tis. Kč, opravy podlah 102 tis. Kč</t>
  </si>
  <si>
    <t>čtyřsloupý zvedák pro geometrii 235 tis. Kč, závora pro vjezd do areálu OV 75 tis. Kč</t>
  </si>
  <si>
    <t>běžné opravy 200 tis. Kč, výměna dveří 100 tis. Kč, opravy suportu 8 soustruhů 200 tis. Kč, výměna podlahové krytiny učebny CNC 240 tis. Kč.</t>
  </si>
  <si>
    <t>hydropraktikátor 900 tis. Kč, rozšíření vybavení mechatroniky 150 tis. Kč, technické zhodnocení měřícího přístroje 250 tis. Kč, Robot KUKA KR3 315 tis. Kč</t>
  </si>
  <si>
    <t>kotel plynový - kuchyň 130 tis. Kč, elektronický konvektomat - OV kuchař-číšník 135 tis. Kč, geometrie pro osobní vozy mechanik opravář motorových vozidel, opravář zemědělských strojů 135 tis. Kč, svářečka Fronius -  mechanik opravář motorových vozidel 60 tis. Kč</t>
  </si>
  <si>
    <t>nákup ojetého automobilu - výměna za nefunkční 100 tis. Kč, nákup konvektomatu do ŠJ 400 tis. Kč</t>
  </si>
  <si>
    <t>ZŠ Bystřice n/Pernšt., Tyršova 106</t>
  </si>
  <si>
    <t>multifunkční kopírka 100 tis. Kč; nábytková sestava 5 x 50 tis. Kč</t>
  </si>
  <si>
    <t>cukrařská pec 210 tis. Kč</t>
  </si>
  <si>
    <t>osobní automobil 300 tis. Kč</t>
  </si>
  <si>
    <t>elektrická pánev do kuchyně 130 tis. Kč</t>
  </si>
  <si>
    <t xml:space="preserve">VOŚ a OA Chotěboř </t>
  </si>
  <si>
    <t>výroba a montáž eurooken 370 tis. Kč,oprava expanzní nádrže 45 tis. Kč</t>
  </si>
  <si>
    <t>rozšíření školních serverů 250 tis. Kč, informační systém školy-software 150 tis. Kč, osobní automobil 400 tis. Kč</t>
  </si>
  <si>
    <t>modely do odborných učeben péče 60 tis. Kč</t>
  </si>
  <si>
    <t>síťové servery 150 tis. Kč, kopírky 50 tis. Kč</t>
  </si>
  <si>
    <t>vybavení laboratoří mechatroniky - dofinancování z r. 2010 (schváleno RK č. 17/2010) 300 tis. Kč, vybavení učebny PC - sítě 500 tis. Kč, dataprojektory - 3ks 130 tis. Kč, vybavení laboratoří měření a mechatroniky 274 tis. Kč, vybavení pracoviště pro měření točivých strojů 100 tis. Kč</t>
  </si>
  <si>
    <t>oprava hygienických koutků v učebnách 70 tis. Kč, opravy podlah v učebnách 150 tis. Kč, oprava elektroinstalace - uvolněný služební byt 164 tis. Kč, oprava vody + plynu - uvolněný služební byt 100 tis. Kč</t>
  </si>
  <si>
    <t>technické zhodnocení schodiště 200 tis. Kč, rekonstrukce půdy 200 tis. Kč, technické zhodnocení - zateplení chodby včetně nové elektroinstalace 100 tis. Kč, rekonstrukce dolního vestibulu 200 tis. Kč, technické zhodnocení vchodu č. 2   50 tis. Kč</t>
  </si>
  <si>
    <t>revize 33 tis. Kč, údržba výpočetní techniky 30 tis. Kč, drobné opravy movitého a nemovitého majetku 180 tis. Kč, malování 100 tis. Kč</t>
  </si>
  <si>
    <t>dataprojektor s interaktivní tabulí 85 tis. Kč, dataprojektor s instalací 45 tis. Kč</t>
  </si>
  <si>
    <t>GO svářečka 100 tis. Kč, zalepovačka 200 tis. Kč</t>
  </si>
  <si>
    <t>PLC do mechatroniky 65 tis. Kč, osciloskop Tektronikx TDS2022 56 tis. Kč, měřící jednotka + program RC2000 57 tis. Kč, měřící souprava 105 tis. Kč, moduly Pasco 80 tis. Kč</t>
  </si>
  <si>
    <t>model do ošetřovatelství 150 tis. Kč, model zvířete 190 tis. Kč, cvičný model figuríny pro oš. dovednosti 130 tis. Kč, sonda na zjišťování březosti zvířat 150 tis. Kč</t>
  </si>
  <si>
    <t>oprava pokojů domova mládeže 700 tis. Kč</t>
  </si>
  <si>
    <t>konvektomat do školní kuchyně 735 tis. Kč, smažící pánev 100 tis. Kč</t>
  </si>
  <si>
    <t>měřící zařízení 120 tis. Kč, pásová pila na kov do školních dílen 50 tis. Kč, unipar na vaření do školní jídelny 150 tis. Kč, kopírka (sborovna školy) 100 tis. Kč</t>
  </si>
  <si>
    <t>klimatizační zařízení do učeben a kabinetů v půdních prostorách školy 300 tis. Kč, malby a nátěry v budově školy (učebny, sociální zařízení) 200 tis. Kč</t>
  </si>
  <si>
    <t>dodávkový automobil 200 tis. Kč, hrotový soustruh 450 tis. Kč</t>
  </si>
  <si>
    <t>oprava stropů umýváren žáků 100 tis. Kč, malířské a natěračské práce 80 tis. Kč, oprava okapů - kabelový ohřev 25 tis. Kč, oprava poklopu kanalizace 12 tis. Kč, oprava elektroinstalace 10 tis. Kč</t>
  </si>
  <si>
    <t>mandl do prádelny - 160 tis. Kč (z toho 50 tis. Kč dotace od zřizovatele)</t>
  </si>
  <si>
    <t>Zůstatek k 31.12.   2011</t>
  </si>
  <si>
    <t>Stav krytí fondu k 31.12.   2010</t>
  </si>
  <si>
    <t>oprava podlah ve třídách 200 tis. Kč</t>
  </si>
  <si>
    <t>rekonstrukce školní sítě ICT 200 tis. Kč, stavební úpravy - rozšíření dílny pro zabezpečovací techniku 60 tis. Kč, bezpečnostní folie - vstup do školy 30 tis. Kč, oprava dlažby - budova A III. NP 120 tis. Kč, oprava podlah - 3 učebny 250 tis. Kč, oprava rozvodů vody 500 tis. Kč, podhledy - budova A 200 tis. Kč, dlažba - vstup do DM + botárna 220 tis. Kč, oprava dlažby + zasypání kanálů - koridor od dílen k jídelně 300 tis. Kč, nový povrch na chodbách v DM - 4 podlaží 280 tis. Kč, oprava podlah ve všech podestách v DM 2.-9.p. 200 tis. Kč, oprava chodníku k vrátnici 200 tis. Kč</t>
  </si>
  <si>
    <t>zateplení dílny IMOS - zadní průčelí 175 tis. Kč, zateplení Kubišova Domeček 73 tis. Kč, žaluzie 7 tis. Kč, revitalizace školní zahrady - spoluúčast školy 340 tis. Kč, vstup do sklepních prostor - budova Kubišova 1214/9 60 tis. Kč, klimatizace do odborné učebny č. 501 pevně spojená s budovou Kubišova 1214/9 50 tis. Kč, Projekt Revitalizace školní zahrady Střední školy stavební Třebíč II 800 tis. Kč</t>
  </si>
  <si>
    <t>1) Investiční fondy jsou posíleny převodem prostředků z rezervního fondu ve výši  394 tis. Kč</t>
  </si>
  <si>
    <t>oprava oplocení pozemku pracoviště Bratříků 550 tis. Kč</t>
  </si>
  <si>
    <t>interaktivní tabule s pšílušenstvím 120 tis. Kč, keramická pec 50 tis. Kč</t>
  </si>
  <si>
    <t>kopírka do sborovny 90 tis. Kč, pořízení serveru 90 tis. Kč, počítače do učebny VT 250 tis. Kč</t>
  </si>
  <si>
    <t>malba, výměna podlahové krytiny 50 tis. Kč, běžné opravy v budově 150 tis. Kč</t>
  </si>
  <si>
    <t xml:space="preserve">bidety na dívčím WC 2 ks 45 tis. Kč, kotel s malým výkonem na ohřev TUV (mimo topnou sezónu) 60 tis. Kč, opravy podlah ve třídách 20 tis. Kč, výměna podlahové krytiny 12 tis. Kč, malování 35 tis. Kč, opravy venkovní fasády budovy + střechy - oplechování 53 tis. Kč  </t>
  </si>
  <si>
    <t>systém zabezpečení budovy 100 tis. Kč, údržba a opravy související se systémem zabezpečení budovy 50 tis. Kč</t>
  </si>
  <si>
    <t>běžná údržba školy 80 tis. Kč</t>
  </si>
  <si>
    <t>vstupní dveře (řešení bezpečnostního vstupu pro žáky) 100 tis. Kč</t>
  </si>
  <si>
    <t>oprava budovy 63 tis. Kč</t>
  </si>
  <si>
    <t>výmalba v prostorách budovy školy 50 tis. Kč</t>
  </si>
  <si>
    <t>rekonstrukce el. rozvodů a datových sítí 120 tis. Kč, malování a nátěry 250 tis. Kč, údržba a opravy školní budovy a kotelny 162 tis. Kč</t>
  </si>
  <si>
    <t>nátěr oken 100 tis. Kč</t>
  </si>
  <si>
    <t>Oprava dlažby u bazénu na základně Hájenka 30 tis. Kč, oprava střešní krytiny na základně Hájenka 80 tis. Kč, oprava lina-podlah na základně Smrčná 30 tis. Kč, oprava septiku na základně Smrčná 70 tis. Kč, oprava vypalovací pece 40 tis. Kč</t>
  </si>
  <si>
    <t>střecha, komíny - stavební úpravy v areálu DD 302 tis. Kč</t>
  </si>
  <si>
    <t>výměna části oken 500 tis. Kč</t>
  </si>
  <si>
    <t>výmalba 75 tis. Kč</t>
  </si>
  <si>
    <t>robot do školní kuchyně na pracoviště Cyrilometodějská 22 SPAR  SP 30 67 tis. Kč</t>
  </si>
  <si>
    <t>interaktivní tabule (dotace z rozpočtu EU) 85 tis.Kč; vybavení snoozelenu (dotace z rozpočtu EU) 150 tis. Kč</t>
  </si>
  <si>
    <t>kombinované sporáky do kuchyně (2 ks a 100 tis.Kč - investiční dotace od zřizovatele) 200 tis. Kč</t>
  </si>
  <si>
    <t>modernizace počítačové učebny 150 tis. Kč</t>
  </si>
  <si>
    <t>osobní automobil (náhrada za zkorodovaného Favorita Forman r.výr. 1992) - 300 tis. Kč, pila na kov na odborný výcvik 140 tis. Kč, kopírka 2 ks 160 tis. Kč, klimatizace učebny VT 300 tis. Kč, závitořez 130 tis. Kč</t>
  </si>
  <si>
    <t>hudební zkušebna 70 tis. Kč</t>
  </si>
  <si>
    <t>elektrická trouba do výdejny 150 tis. Kč</t>
  </si>
  <si>
    <t>hydraulický lis - dílny Světlá nad Sázavou (opravář zemědělských strojů) 180 tis. Kč, traktor pro praktické vyučování - Humpolec 1 200 tis. Kč, nový povrch sportovního hřiště - Humpolec 700 tis. Kč, osobní auto - autoškola (náhrada za bourané auto) 250 tis. Kč, vybavení odborné učebny 200 tis. Kč</t>
  </si>
  <si>
    <t>nákup užitkového dodávkového automobilu 380 tis. Kč (výměna za starý), formátovací pila truhlárna 100 tis. Kč</t>
  </si>
  <si>
    <r>
      <t xml:space="preserve">diagnostika - měření geometrie 350 tis. Kč, </t>
    </r>
    <r>
      <rPr>
        <i/>
        <sz val="8"/>
        <color indexed="8"/>
        <rFont val="Arial"/>
        <family val="2"/>
      </rPr>
      <t>automobil pro dopravu - Křemešnická 250 tis. Kč</t>
    </r>
  </si>
  <si>
    <t>motocykl pro autoškolu 100 tis. Kč, svařovací, kontrolní a měřící stroje a zařízení 400 tis. Kč, pořízení gastrotechnologie a vybavení pro přepravu jídla - investiční dotace zřizovatele - 3 461 tis. Kč, vybavení na přepravu jídla (auto na rozvoz obědů) - dofinancování z vlastních prostředků 50 tis. Kč</t>
  </si>
  <si>
    <t>plynový varný kotel 100 tis. Kč, interaktivní tabule 200 tis. Kč, diagnostické zařízení 80 tis. Kč, automobil "TRANSIT" 380 tis. Kč (výměna za nepojízdnou Avii - na praxi žáků)</t>
  </si>
  <si>
    <t>keramická pec 45 tis. Kč, hudební nástroj 105 tis. Kč</t>
  </si>
  <si>
    <t>osobní automobil 300 tis. Kč (výměna za staré)</t>
  </si>
  <si>
    <t>interaktivní tabule s přílušenstvím 120 tis. Kč, keramická pec 50 tis. Kč</t>
  </si>
  <si>
    <r>
      <t xml:space="preserve">diagnostika - měření geometrie 350 tis. Kč, </t>
    </r>
    <r>
      <rPr>
        <sz val="8"/>
        <color indexed="8"/>
        <rFont val="Arial"/>
        <family val="2"/>
      </rPr>
      <t>automobil pro dopravu - Křemešnická 250 tis. Kč (náhrada za multikáru)</t>
    </r>
  </si>
  <si>
    <t>GO svářečka 100 tis. Kč, zalepovačka 200 tis. Kč, klimatizace do odborné učebny č. 501 pevně spojená s budovou Kubišova 1214/9 50 tis. Kč,</t>
  </si>
  <si>
    <t xml:space="preserve">měřící zařízení 120 tis. Kč, pásová pila na kov do školních dílen 50 tis. Kč, unipar na vaření do školní jídelny 150 tis. Kč, kopírka (sborovna školy) 100 tis. Kč, klimatizační zařízení do učeben a kabinetů v půdních prostorách školy 300 tis. Kč, </t>
  </si>
  <si>
    <t xml:space="preserve">úprava porodny prasnic 400 tis. Kč, investice související s výstavbou kravína 1 000 tis. Kč, opravy elektroinstalace, rozvodů vody a energií 200 tis. Kč, opravy střech, zateplení a opravy plášťů budov 180 tis. Kč, opravy komunikací 50 tis.Kč, opravdy a údržba bytů 50 tis. Kč, stavební materiál 40 tis. Kč, opravy strojů a vybavení vč. náhradních dílů 280 tis. Kč, opravy silážních žlabů 300 tis. Kč  </t>
  </si>
  <si>
    <t>zvířata zákl. stáda 2 500 tis. Kč, nákup traktorů 2 500 tis. Kč, zem. Stroje 2 300 tis. Kč, vybavení jatek a MV 1 000 tis. Kč, bramborový kombajn 400 tis. Kč, nákladní automobil 480 tis. Kč (výměna za starý)</t>
  </si>
  <si>
    <t>rozšíření školních serverů 250 tis. Kč, informační systém školy-software 150 tis. Kč, osobní automobil 400 tis. Kč (nové auto)</t>
  </si>
  <si>
    <t>malby a nátěry v budově školy (učebny, sociální zařízení) 200 tis. Kč</t>
  </si>
  <si>
    <t>PLC (programovatelný logický automat) do mechatroniky 65 tis. Kč, osciloskop Tektronikx TDS2022 56 tis. Kč, měřící jednotka + program RC2000 57 tis. Kč, měřící souprava 105 tis. Kč, moduly Pasco 80 tis. Kč</t>
  </si>
  <si>
    <t>zateplení budovy dílen školy - zadní průčelí 175 tis. Kč, zateplení Kubišova Domeček 73 tis. Kč, žaluzie 7 tis. Kč, revitalizace školní zahrady - spoluúčast školy 340 tis. Kč, vstup do sklepních prostor - budova Kubišova 1214/9 60 tis. Kč, Projekt Revitalizace školní zahrady Střední školy stavební Třebíč II 800 tis. Kč</t>
  </si>
  <si>
    <t>dodávkový automobil 200 tis. Kč (výměna za starý), hrotový soustruh 450 tis. Kč</t>
  </si>
  <si>
    <t>hydraulický lis - dílny Světlá nad Sázavou (opravář zemědělských strojů) 180 tis. Kč, traktor pro praktické vyučování - Humpolec 1 200 tis. Kč, osobní auto - autoškola (náhrada za bourané auto) 250 tis. Kč, vybavení odborné učebny 200 tis. Kč</t>
  </si>
  <si>
    <t xml:space="preserve">nový povrch sportovního hřiště - Humpolec 700 tis. Kč, </t>
  </si>
  <si>
    <t>rekonstrukce školní sítě ICT 200 tis. Kč, stavební úpravy - rozšíření dílny pro zabezpečovací techniku 60 tis. Kč, bezpečnostní folie - vstup do školy 30 tis. Kč, oprava dlažby - budova A III. NP 120 tis. Kč, oprava podlah - 3 učebny 250 tis. Kč, oprava rozvodů vody 400 tis. Kč - budova A, dlažba - vstup do DM + botárna 220 tis. Kč, oprava elektroinstalace 300 tis. Kč, nový povrch na chodbách v DM - 4 podlaží 280 tis. Kč, oprava podlah ve všech podestách v DM 2.-9.p. 200 tis. Kč, oprava chodníku k vrátnici 200 tis. Kč</t>
  </si>
  <si>
    <t>hudební nástroje včetně příslušenství 70 tis. Kč</t>
  </si>
  <si>
    <t xml:space="preserve">interaktivní tabule 70 tis. Kč, dataprojektor 20 tis. Kč, PC s příslušenstvím  - 20 tis. Kč - soubor movitých věcí v rámci projektu </t>
  </si>
  <si>
    <t>Celkem školství</t>
  </si>
  <si>
    <t>plotter vyřezávací 147 tis. Kč, osvitová jednotka pro sítotisk 137 tis. Kč</t>
  </si>
  <si>
    <t>výmalba ve vytipovaných prostorách školy ve všech 3 budovách 100 tis. Kč, opravy podlah Sirotčí, DM Stařečka 102 tis. Kč</t>
  </si>
  <si>
    <t>údržba výpočetní techniky 30 tis. Kč, drobné opravy movitého a nemovitého majetku 180 tis. Kč, malování 100 tis. Kč</t>
  </si>
  <si>
    <t>osobní automobil (náhrada za zkorodovaného Favorita Forman r.výr. 1992) - 300 tis. Kč, kopírka 2 ks 160 tis. Kč, klimatizace učebny VT 300 tis. Kč</t>
  </si>
  <si>
    <t>dokončení přístřešku u tělocvičny 220 tis. Kč, oprava rozvodů vody 150 tis. Kč</t>
  </si>
  <si>
    <t>běžné opravy 200 tis. Kč, opravy suportu 8 soustruhů 200 tis. Kč</t>
  </si>
  <si>
    <t>nákup užitkového dodávkového automobilu 380 tis. Kč (výměna za starý)</t>
  </si>
  <si>
    <t>svařovací, kontrolní a měřící stroje a zařízení 400 tis. Kč, pořízení gastrotechnologie a vybavení pro přepravu jídla - investiční dotace zřizovatele - 3 461 tis. Kč, vybavení na přepravu jídla (auto na rozvoz obědů) - dofinancování z vlastních prostředků 50 tis. Kč</t>
  </si>
  <si>
    <t>kotel plynový - kuchyň 130 tis. Kč, elektronický konvektomat - OV kuchař-číšník 135 tis. Kč</t>
  </si>
  <si>
    <t>robot do školní kuchyně na pracoviště Cyrilometodějská 22  67 tis. Kč</t>
  </si>
  <si>
    <t>rozšíření školních serverů 250 tis. Kč, informační systém školy-software 150 tis. Kč</t>
  </si>
  <si>
    <t>vybavení laboratoří mechatroniky - dofinancování z r. 2010 (schváleno RK č. 17/2010) 300 tis. Kč, vybavení učebny PC - sítě 400 tis. Kč, dataprojektory - 2ks 90 tis. Kč, vybavení laboratoří měření a mechatroniky 274 tis. Kč, vybavení pracoviště pro měření točivých strojů 100 tis. Kč</t>
  </si>
  <si>
    <t>údržba výpočetní techniky 30 tis. Kč, drobné opravy movitého a nemovitého majetku 180 tis. Kč</t>
  </si>
  <si>
    <t>hydraulický lis - dílny Světlá nad Sázavou (opravář zemědělských strojů) 180 tis. Kč, osobní auto - autoškola (náhrada za bourané auto) 250 tis. Kč, vybavení odborné učebny 200 tis. Kč</t>
  </si>
  <si>
    <t>GO svářečka 100 tis. Kč, zalepovačka 200 tis. Kč, klimatizace do odborných učeben 50 tis. Kč,</t>
  </si>
  <si>
    <t xml:space="preserve">měřící zařízení 120 tis. Kč, pásová pila na kov do školních dílen 50 tis. Kč, unipar na vaření do školní jídelny 150 tis. Kč, kopírka (sborovna školy) 100 tis. Kč, klimatizační zařízení do učeben a kabinetů 300 tis. Kč, </t>
  </si>
  <si>
    <t>dodávkový automobil 200 tis. Kč (výměna za starý)</t>
  </si>
  <si>
    <t xml:space="preserve">malování 35 tis. Kč  </t>
  </si>
  <si>
    <t>pojízdný vyhřívaný vozík na gastronádoby 150 tis. Kč</t>
  </si>
  <si>
    <t>Projekt Revitalizace školní zahrady Střední školy stavební Třebíč II 800 tis. Kč, revitalizace školní zahrady - spoluúčast školy 340 tis. Kč</t>
  </si>
  <si>
    <t>odhlučnění CNC učebny Křemešnická ul. 100 tis. Kč,vstupní zabezpečovací systém Křemešnická 150 tis. Kč, vstupní zabezpečovací systém Růžová 150 tis. Kč, osvětlení tělocvična 600 tis. Kč</t>
  </si>
  <si>
    <t>Tvorba a použití peněžních fondů v roce 2012</t>
  </si>
  <si>
    <t>Zůstatek k 1.1.2012</t>
  </si>
  <si>
    <t>Stav krytí fondu k 31.12.   2011</t>
  </si>
  <si>
    <t>Zůstatek k 31.12.   2012</t>
  </si>
  <si>
    <t>Stav krytí fondu k 31.12.   2011</t>
  </si>
  <si>
    <t>Zůstatek k 31.12.   2012</t>
  </si>
  <si>
    <t>Tvorba vč. zůst. k 1.1.2012</t>
  </si>
  <si>
    <t>Tvorba+stav krytí fondu k 31.12.  2011</t>
  </si>
  <si>
    <t>ZŠ a Praktická škola Moravské  Budějovice, Dobrovského 11</t>
  </si>
  <si>
    <t>Střední průmyslová škola a Střední odborné učiliště Pelhřimov</t>
  </si>
  <si>
    <t>počet stran: 3</t>
  </si>
  <si>
    <t>§ 3114 - celkem</t>
  </si>
  <si>
    <t>§ 3121 - celkem</t>
  </si>
  <si>
    <t>Dětský domov, Náměšť n/ Osl., Krátká 284</t>
  </si>
  <si>
    <t>Vysočina Education, školské zařízení pro další vzdělávání pedagogických pracovníků a středisko služeb školám, příspěšvková organizace</t>
  </si>
  <si>
    <t>RK-12-2012-31, př. 2</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</si>
</sst>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0\ &quot;Kč&quot;"/>
    <numFmt numFmtId="185" formatCode="#,##0\ &quot;Kč&quot;"/>
    <numFmt numFmtId="186" formatCode="[$-405]d\.\ mmmm\ yyyy"/>
    <numFmt numFmtId="187" formatCode="000\ 00"/>
    <numFmt numFmtId="188" formatCode="0.0"/>
    <numFmt numFmtId="189" formatCode="0.0%"/>
    <numFmt numFmtId="190" formatCode="_-* #,##0.0\ &quot;Kč&quot;_-;\-* #,##0.0\ &quot;Kč&quot;_-;_-* &quot;-&quot;??\ &quot;Kč&quot;_-;_-@_-"/>
    <numFmt numFmtId="191" formatCode="_-* #,##0\ &quot;Kč&quot;_-;\-* #,##0\ &quot;Kč&quot;_-;_-* &quot;-&quot;??\ &quot;Kč&quot;_-;_-@_-"/>
    <numFmt numFmtId="192" formatCode="_-* #,##0.000\ &quot;Kč&quot;_-;\-* #,##0.000\ &quot;Kč&quot;_-;_-* &quot;-&quot;??\ &quot;Kč&quot;_-;_-@_-"/>
  </numFmts>
  <fonts count="73">
    <font>
      <sz val="10"/>
      <name val="Arial CE"/>
      <family val="0"/>
    </font>
    <font>
      <b/>
      <sz val="8"/>
      <name val="Arial CE"/>
      <family val="2"/>
    </font>
    <font>
      <sz val="9"/>
      <name val="Arial CE"/>
      <family val="2"/>
    </font>
    <font>
      <b/>
      <sz val="10"/>
      <name val="Arial CE"/>
      <family val="2"/>
    </font>
    <font>
      <sz val="12"/>
      <name val="Arial CE"/>
      <family val="2"/>
    </font>
    <font>
      <b/>
      <sz val="14"/>
      <name val="Arial CE"/>
      <family val="2"/>
    </font>
    <font>
      <sz val="14"/>
      <name val="Arial CE"/>
      <family val="2"/>
    </font>
    <font>
      <u val="single"/>
      <sz val="10"/>
      <color indexed="12"/>
      <name val="Arial CE"/>
      <family val="0"/>
    </font>
    <font>
      <u val="single"/>
      <sz val="10"/>
      <color indexed="36"/>
      <name val="Arial CE"/>
      <family val="0"/>
    </font>
    <font>
      <b/>
      <sz val="12"/>
      <name val="Arial"/>
      <family val="2"/>
    </font>
    <font>
      <b/>
      <sz val="14"/>
      <name val="Arial"/>
      <family val="2"/>
    </font>
    <font>
      <sz val="12"/>
      <name val="Arial"/>
      <family val="2"/>
    </font>
    <font>
      <sz val="10"/>
      <name val="Arial"/>
      <family val="2"/>
    </font>
    <font>
      <sz val="8"/>
      <name val="Arial"/>
      <family val="2"/>
    </font>
    <font>
      <b/>
      <sz val="10"/>
      <name val="Arial"/>
      <family val="2"/>
    </font>
    <font>
      <sz val="7"/>
      <name val="Arial"/>
      <family val="2"/>
    </font>
    <font>
      <sz val="9"/>
      <name val="Arial"/>
      <family val="2"/>
    </font>
    <font>
      <b/>
      <vertAlign val="superscript"/>
      <sz val="14"/>
      <name val="Arial"/>
      <family val="2"/>
    </font>
    <font>
      <sz val="10"/>
      <color indexed="8"/>
      <name val="Arial"/>
      <family val="2"/>
    </font>
    <font>
      <sz val="8"/>
      <color indexed="8"/>
      <name val="Arial"/>
      <family val="2"/>
    </font>
    <font>
      <sz val="8"/>
      <color indexed="12"/>
      <name val="Arial"/>
      <family val="2"/>
    </font>
    <font>
      <sz val="10"/>
      <color indexed="12"/>
      <name val="Arial CE"/>
      <family val="0"/>
    </font>
    <font>
      <b/>
      <sz val="10"/>
      <color indexed="12"/>
      <name val="Arial CE"/>
      <family val="2"/>
    </font>
    <font>
      <sz val="9"/>
      <color indexed="12"/>
      <name val="Arial CE"/>
      <family val="2"/>
    </font>
    <font>
      <sz val="10"/>
      <color indexed="8"/>
      <name val="Arial CE"/>
      <family val="0"/>
    </font>
    <font>
      <b/>
      <sz val="10"/>
      <color indexed="8"/>
      <name val="Arial"/>
      <family val="2"/>
    </font>
    <font>
      <sz val="9"/>
      <color indexed="8"/>
      <name val="Arial"/>
      <family val="2"/>
    </font>
    <font>
      <b/>
      <vertAlign val="superscript"/>
      <sz val="10"/>
      <name val="Arial"/>
      <family val="2"/>
    </font>
    <font>
      <vertAlign val="superscript"/>
      <sz val="10"/>
      <name val="Arial"/>
      <family val="2"/>
    </font>
    <font>
      <b/>
      <sz val="11"/>
      <name val="Arial"/>
      <family val="2"/>
    </font>
    <font>
      <b/>
      <sz val="9"/>
      <name val="Arial CE"/>
      <family val="2"/>
    </font>
    <font>
      <sz val="8"/>
      <color indexed="10"/>
      <name val="Arial"/>
      <family val="2"/>
    </font>
    <font>
      <b/>
      <sz val="9"/>
      <color indexed="8"/>
      <name val="Arial CE"/>
      <family val="2"/>
    </font>
    <font>
      <strike/>
      <sz val="8"/>
      <color indexed="8"/>
      <name val="Arial"/>
      <family val="2"/>
    </font>
    <font>
      <b/>
      <sz val="8"/>
      <color indexed="8"/>
      <name val="Arial"/>
      <family val="2"/>
    </font>
    <font>
      <sz val="8"/>
      <name val="Arial CE"/>
      <family val="0"/>
    </font>
    <font>
      <b/>
      <sz val="8"/>
      <name val="Arial"/>
      <family val="2"/>
    </font>
    <font>
      <i/>
      <sz val="8"/>
      <color indexed="8"/>
      <name val="Arial"/>
      <family val="2"/>
    </font>
    <font>
      <b/>
      <sz val="12"/>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theme="0"/>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thin"/>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medium"/>
      <right style="medium"/>
      <top style="medium"/>
      <bottom style="medium"/>
    </border>
    <border>
      <left style="thin"/>
      <right style="medium"/>
      <top style="medium"/>
      <bottom style="thin"/>
    </border>
    <border>
      <left style="medium"/>
      <right style="medium"/>
      <top>
        <color indexed="63"/>
      </top>
      <bottom style="thin"/>
    </border>
    <border>
      <left style="medium"/>
      <right style="medium"/>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color indexed="63"/>
      </left>
      <right style="thin"/>
      <top style="medium"/>
      <bottom style="medium"/>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thin"/>
      <right style="thin"/>
      <top style="medium"/>
      <bottom style="medium"/>
    </border>
    <border>
      <left style="medium"/>
      <right style="thin"/>
      <top style="medium"/>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medium"/>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medium"/>
      <top style="thin"/>
      <bottom style="thin"/>
    </border>
    <border>
      <left>
        <color indexed="63"/>
      </left>
      <right style="thin"/>
      <top style="medium"/>
      <bottom style="thin"/>
    </border>
    <border>
      <left style="thin"/>
      <right style="thin"/>
      <top style="medium"/>
      <bottom style="thin"/>
    </border>
    <border>
      <left>
        <color indexed="63"/>
      </left>
      <right>
        <color indexed="63"/>
      </right>
      <top style="medium"/>
      <bottom>
        <color indexed="63"/>
      </botto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688">
    <xf numFmtId="0" fontId="0" fillId="0" borderId="0" xfId="0" applyAlignment="1">
      <alignment/>
    </xf>
    <xf numFmtId="3" fontId="18" fillId="0" borderId="10" xfId="0" applyNumberFormat="1" applyFont="1" applyBorder="1" applyAlignment="1">
      <alignment horizontal="right" vertical="center" wrapText="1" shrinkToFit="1"/>
    </xf>
    <xf numFmtId="3" fontId="18" fillId="0" borderId="10" xfId="0" applyNumberFormat="1" applyFont="1" applyBorder="1" applyAlignment="1">
      <alignment horizontal="right" vertical="center" wrapText="1"/>
    </xf>
    <xf numFmtId="0" fontId="14" fillId="0" borderId="11" xfId="0" applyFont="1" applyBorder="1" applyAlignment="1">
      <alignment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2" fillId="0" borderId="13" xfId="0" applyFont="1" applyBorder="1" applyAlignment="1">
      <alignment horizontal="centerContinuous" vertical="center"/>
    </xf>
    <xf numFmtId="0" fontId="0" fillId="0" borderId="0" xfId="0" applyAlignment="1">
      <alignment vertical="center"/>
    </xf>
    <xf numFmtId="0" fontId="14" fillId="0" borderId="15" xfId="0" applyFont="1" applyBorder="1" applyAlignment="1">
      <alignment horizontal="center" vertical="center"/>
    </xf>
    <xf numFmtId="0" fontId="12" fillId="0" borderId="10" xfId="0" applyFont="1" applyBorder="1" applyAlignment="1">
      <alignment horizontal="centerContinuous" vertical="center"/>
    </xf>
    <xf numFmtId="0" fontId="12" fillId="0" borderId="16" xfId="0" applyFont="1" applyBorder="1" applyAlignment="1">
      <alignment horizontal="centerContinuous" vertical="center"/>
    </xf>
    <xf numFmtId="0" fontId="20" fillId="0" borderId="0" xfId="0" applyFont="1" applyFill="1" applyBorder="1" applyAlignment="1">
      <alignment horizontal="right" vertical="center"/>
    </xf>
    <xf numFmtId="0" fontId="0" fillId="0" borderId="0" xfId="0" applyFont="1" applyAlignment="1">
      <alignment vertical="center"/>
    </xf>
    <xf numFmtId="0" fontId="14" fillId="0" borderId="15" xfId="0" applyFont="1" applyBorder="1" applyAlignment="1">
      <alignment vertical="center"/>
    </xf>
    <xf numFmtId="0" fontId="12" fillId="0" borderId="17" xfId="0" applyFont="1" applyBorder="1" applyAlignment="1">
      <alignment vertical="center"/>
    </xf>
    <xf numFmtId="0" fontId="21" fillId="0" borderId="0" xfId="0" applyFont="1" applyAlignment="1">
      <alignment vertical="center"/>
    </xf>
    <xf numFmtId="0" fontId="30" fillId="0" borderId="0" xfId="0" applyFont="1" applyAlignment="1">
      <alignment vertical="center"/>
    </xf>
    <xf numFmtId="0" fontId="14" fillId="0" borderId="18" xfId="0" applyFont="1" applyBorder="1" applyAlignment="1">
      <alignment horizontal="center" vertical="center" wrapText="1"/>
    </xf>
    <xf numFmtId="3" fontId="14" fillId="0" borderId="19"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vertical="center" wrapText="1"/>
    </xf>
    <xf numFmtId="3" fontId="14" fillId="0" borderId="20" xfId="0" applyNumberFormat="1" applyFont="1" applyBorder="1" applyAlignment="1">
      <alignment horizontal="centerContinuous" vertical="center"/>
    </xf>
    <xf numFmtId="3" fontId="14" fillId="0" borderId="17" xfId="0" applyNumberFormat="1" applyFont="1" applyBorder="1" applyAlignment="1">
      <alignment horizontal="centerContinuous" vertical="center"/>
    </xf>
    <xf numFmtId="3"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0" fontId="14" fillId="0" borderId="22" xfId="0" applyFont="1" applyBorder="1" applyAlignment="1">
      <alignment vertical="center" wrapText="1"/>
    </xf>
    <xf numFmtId="3" fontId="13" fillId="0" borderId="22" xfId="0" applyNumberFormat="1" applyFont="1" applyBorder="1" applyAlignment="1">
      <alignment horizontal="left" vertical="center"/>
    </xf>
    <xf numFmtId="3" fontId="13" fillId="0" borderId="23" xfId="0" applyNumberFormat="1" applyFont="1" applyBorder="1" applyAlignment="1">
      <alignment horizontal="left" vertical="center"/>
    </xf>
    <xf numFmtId="3" fontId="14" fillId="0" borderId="24" xfId="0" applyNumberFormat="1" applyFont="1" applyBorder="1" applyAlignment="1">
      <alignment vertical="center"/>
    </xf>
    <xf numFmtId="3" fontId="15" fillId="0" borderId="22" xfId="0" applyNumberFormat="1" applyFont="1" applyBorder="1" applyAlignment="1">
      <alignment horizontal="left" vertical="center"/>
    </xf>
    <xf numFmtId="0" fontId="19" fillId="0" borderId="25" xfId="0" applyFont="1" applyBorder="1" applyAlignment="1">
      <alignment vertical="center" wrapText="1"/>
    </xf>
    <xf numFmtId="3" fontId="31" fillId="0" borderId="25" xfId="0" applyNumberFormat="1" applyFont="1" applyBorder="1" applyAlignment="1">
      <alignment horizontal="left" vertical="center"/>
    </xf>
    <xf numFmtId="3" fontId="13" fillId="0" borderId="26" xfId="0" applyNumberFormat="1" applyFont="1" applyBorder="1" applyAlignment="1">
      <alignment horizontal="left" vertical="center"/>
    </xf>
    <xf numFmtId="3" fontId="12" fillId="0" borderId="27" xfId="0" applyNumberFormat="1" applyFont="1" applyBorder="1" applyAlignment="1">
      <alignment vertical="center"/>
    </xf>
    <xf numFmtId="3" fontId="12" fillId="0" borderId="27" xfId="0" applyNumberFormat="1" applyFont="1" applyBorder="1" applyAlignment="1">
      <alignment horizontal="right" vertical="center"/>
    </xf>
    <xf numFmtId="3" fontId="19" fillId="0" borderId="25" xfId="0" applyNumberFormat="1" applyFont="1" applyBorder="1" applyAlignment="1">
      <alignment horizontal="left" vertical="center"/>
    </xf>
    <xf numFmtId="3" fontId="19" fillId="0" borderId="26" xfId="0" applyNumberFormat="1" applyFont="1" applyBorder="1" applyAlignment="1">
      <alignment horizontal="left" vertical="center"/>
    </xf>
    <xf numFmtId="3" fontId="18" fillId="0" borderId="27" xfId="0" applyNumberFormat="1" applyFont="1" applyBorder="1" applyAlignment="1">
      <alignment vertical="center"/>
    </xf>
    <xf numFmtId="3" fontId="18" fillId="0" borderId="27" xfId="0" applyNumberFormat="1" applyFont="1" applyBorder="1" applyAlignment="1">
      <alignment horizontal="right" vertical="center"/>
    </xf>
    <xf numFmtId="0" fontId="24" fillId="0" borderId="0" xfId="0" applyFont="1" applyAlignment="1">
      <alignment vertical="center"/>
    </xf>
    <xf numFmtId="0" fontId="32" fillId="0" borderId="0" xfId="0" applyFont="1" applyAlignment="1">
      <alignment vertical="center"/>
    </xf>
    <xf numFmtId="0" fontId="3" fillId="0" borderId="0" xfId="0" applyFont="1" applyAlignment="1">
      <alignment vertical="center"/>
    </xf>
    <xf numFmtId="3" fontId="33" fillId="0" borderId="26" xfId="0" applyNumberFormat="1" applyFont="1" applyBorder="1" applyAlignment="1">
      <alignment horizontal="left" vertical="center"/>
    </xf>
    <xf numFmtId="3" fontId="34" fillId="0" borderId="26" xfId="0" applyNumberFormat="1" applyFont="1" applyBorder="1" applyAlignment="1">
      <alignment horizontal="left" vertical="center"/>
    </xf>
    <xf numFmtId="3" fontId="31" fillId="0" borderId="28" xfId="0" applyNumberFormat="1" applyFont="1" applyBorder="1" applyAlignment="1">
      <alignment horizontal="left" vertical="center"/>
    </xf>
    <xf numFmtId="3" fontId="13" fillId="0" borderId="29" xfId="0" applyNumberFormat="1" applyFont="1" applyBorder="1" applyAlignment="1">
      <alignment horizontal="left" vertical="center"/>
    </xf>
    <xf numFmtId="3" fontId="12" fillId="0" borderId="30" xfId="0" applyNumberFormat="1" applyFont="1" applyBorder="1" applyAlignment="1">
      <alignment vertical="center"/>
    </xf>
    <xf numFmtId="3" fontId="19" fillId="0" borderId="28" xfId="0" applyNumberFormat="1" applyFont="1" applyBorder="1" applyAlignment="1">
      <alignment horizontal="left" vertical="center"/>
    </xf>
    <xf numFmtId="3" fontId="12" fillId="0" borderId="30" xfId="0" applyNumberFormat="1" applyFont="1" applyBorder="1" applyAlignment="1">
      <alignment horizontal="right" vertical="center"/>
    </xf>
    <xf numFmtId="0" fontId="19" fillId="0" borderId="31" xfId="0" applyFont="1" applyBorder="1" applyAlignment="1">
      <alignment vertical="center" wrapText="1"/>
    </xf>
    <xf numFmtId="3" fontId="13" fillId="0" borderId="25" xfId="0" applyNumberFormat="1" applyFont="1" applyBorder="1" applyAlignment="1">
      <alignment horizontal="left" vertical="center"/>
    </xf>
    <xf numFmtId="0" fontId="14" fillId="0" borderId="32" xfId="0" applyFont="1" applyBorder="1" applyAlignment="1">
      <alignment vertical="center" wrapText="1"/>
    </xf>
    <xf numFmtId="3" fontId="18" fillId="0" borderId="33" xfId="0" applyNumberFormat="1" applyFont="1" applyBorder="1" applyAlignment="1">
      <alignment vertical="center"/>
    </xf>
    <xf numFmtId="3" fontId="18" fillId="0" borderId="33" xfId="0" applyNumberFormat="1" applyFont="1" applyBorder="1" applyAlignment="1">
      <alignment horizontal="right" vertical="center"/>
    </xf>
    <xf numFmtId="0" fontId="19" fillId="0" borderId="28" xfId="0" applyFont="1" applyBorder="1" applyAlignment="1">
      <alignmen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3" fontId="18" fillId="0" borderId="30" xfId="0" applyNumberFormat="1" applyFont="1" applyBorder="1" applyAlignment="1">
      <alignment horizontal="right" vertical="center"/>
    </xf>
    <xf numFmtId="3" fontId="18" fillId="0" borderId="36" xfId="0" applyNumberFormat="1" applyFont="1" applyBorder="1" applyAlignment="1">
      <alignment horizontal="right" vertical="center"/>
    </xf>
    <xf numFmtId="0" fontId="19" fillId="0" borderId="37" xfId="0" applyFont="1" applyBorder="1" applyAlignment="1">
      <alignment vertical="center" wrapText="1"/>
    </xf>
    <xf numFmtId="3" fontId="19" fillId="0" borderId="37" xfId="0" applyNumberFormat="1" applyFont="1" applyBorder="1" applyAlignment="1">
      <alignment horizontal="left" vertical="center"/>
    </xf>
    <xf numFmtId="3" fontId="19" fillId="0" borderId="38" xfId="0" applyNumberFormat="1" applyFont="1" applyBorder="1" applyAlignment="1">
      <alignment horizontal="left" vertical="center"/>
    </xf>
    <xf numFmtId="3" fontId="18" fillId="0" borderId="39" xfId="0" applyNumberFormat="1" applyFont="1" applyBorder="1" applyAlignment="1">
      <alignment vertical="center"/>
    </xf>
    <xf numFmtId="3" fontId="18" fillId="0" borderId="39" xfId="0" applyNumberFormat="1" applyFont="1" applyBorder="1" applyAlignment="1">
      <alignment horizontal="right" vertical="center"/>
    </xf>
    <xf numFmtId="0" fontId="0" fillId="0" borderId="0" xfId="0" applyAlignment="1">
      <alignment vertical="center" wrapText="1"/>
    </xf>
    <xf numFmtId="3" fontId="0" fillId="0" borderId="0" xfId="0" applyNumberFormat="1" applyAlignment="1">
      <alignment vertical="center"/>
    </xf>
    <xf numFmtId="3" fontId="3" fillId="0" borderId="15" xfId="0" applyNumberFormat="1" applyFont="1" applyBorder="1" applyAlignment="1">
      <alignment vertical="center"/>
    </xf>
    <xf numFmtId="3" fontId="19" fillId="0" borderId="31" xfId="0" applyNumberFormat="1" applyFont="1" applyBorder="1" applyAlignment="1">
      <alignment horizontal="left" vertical="center"/>
    </xf>
    <xf numFmtId="3" fontId="19" fillId="0" borderId="40" xfId="0" applyNumberFormat="1" applyFont="1" applyBorder="1" applyAlignment="1">
      <alignment horizontal="left" vertical="center"/>
    </xf>
    <xf numFmtId="3" fontId="18" fillId="0" borderId="36" xfId="0" applyNumberFormat="1" applyFont="1" applyBorder="1" applyAlignment="1">
      <alignment vertical="center"/>
    </xf>
    <xf numFmtId="3" fontId="18" fillId="0" borderId="30" xfId="0" applyNumberFormat="1" applyFont="1" applyBorder="1" applyAlignment="1">
      <alignment vertical="center"/>
    </xf>
    <xf numFmtId="3" fontId="12" fillId="0" borderId="36" xfId="0" applyNumberFormat="1" applyFont="1" applyBorder="1" applyAlignment="1">
      <alignment horizontal="right" vertical="center"/>
    </xf>
    <xf numFmtId="3" fontId="13" fillId="0" borderId="40" xfId="0" applyNumberFormat="1" applyFont="1" applyBorder="1" applyAlignment="1">
      <alignment horizontal="center" vertical="center"/>
    </xf>
    <xf numFmtId="0" fontId="12" fillId="0" borderId="41" xfId="0" applyFont="1" applyBorder="1" applyAlignment="1">
      <alignment horizontal="right" vertical="center"/>
    </xf>
    <xf numFmtId="3" fontId="19" fillId="0" borderId="17" xfId="0" applyNumberFormat="1" applyFont="1" applyBorder="1" applyAlignment="1">
      <alignment horizontal="left" vertical="center"/>
    </xf>
    <xf numFmtId="3" fontId="19" fillId="0" borderId="42" xfId="0" applyNumberFormat="1" applyFont="1" applyBorder="1" applyAlignment="1">
      <alignment horizontal="left" vertical="center"/>
    </xf>
    <xf numFmtId="3" fontId="13" fillId="0" borderId="40" xfId="0" applyNumberFormat="1" applyFont="1" applyBorder="1" applyAlignment="1">
      <alignment horizontal="left" vertical="center"/>
    </xf>
    <xf numFmtId="3" fontId="12" fillId="0" borderId="36" xfId="0" applyNumberFormat="1" applyFont="1" applyBorder="1" applyAlignment="1">
      <alignment vertical="center"/>
    </xf>
    <xf numFmtId="0" fontId="0" fillId="0" borderId="0" xfId="0" applyBorder="1" applyAlignment="1">
      <alignment horizontal="left" vertical="center" wrapText="1"/>
    </xf>
    <xf numFmtId="3" fontId="12" fillId="0" borderId="41" xfId="0" applyNumberFormat="1" applyFont="1" applyBorder="1" applyAlignment="1">
      <alignment horizontal="right" vertical="center"/>
    </xf>
    <xf numFmtId="0" fontId="19" fillId="0" borderId="0" xfId="0" applyFont="1" applyBorder="1" applyAlignment="1">
      <alignment horizontal="left" vertical="center" wrapText="1"/>
    </xf>
    <xf numFmtId="3" fontId="19" fillId="0" borderId="0" xfId="0" applyNumberFormat="1" applyFont="1" applyBorder="1" applyAlignment="1">
      <alignment horizontal="left" vertical="center" wrapText="1"/>
    </xf>
    <xf numFmtId="3" fontId="18" fillId="0" borderId="0" xfId="0" applyNumberFormat="1" applyFont="1" applyBorder="1" applyAlignment="1">
      <alignment horizontal="right" vertical="center"/>
    </xf>
    <xf numFmtId="3" fontId="31" fillId="0" borderId="0" xfId="0" applyNumberFormat="1" applyFont="1" applyBorder="1" applyAlignment="1">
      <alignment horizontal="left" vertical="center" wrapText="1"/>
    </xf>
    <xf numFmtId="3" fontId="12" fillId="0" borderId="0" xfId="0" applyNumberFormat="1" applyFont="1" applyBorder="1" applyAlignment="1">
      <alignment horizontal="right" vertical="center"/>
    </xf>
    <xf numFmtId="0" fontId="0" fillId="0" borderId="0" xfId="0" applyBorder="1" applyAlignment="1">
      <alignment vertical="center"/>
    </xf>
    <xf numFmtId="0" fontId="19" fillId="0" borderId="43" xfId="0" applyFont="1" applyBorder="1" applyAlignment="1">
      <alignment horizontal="left" vertical="center" wrapText="1"/>
    </xf>
    <xf numFmtId="3" fontId="12" fillId="0" borderId="33" xfId="0" applyNumberFormat="1" applyFont="1" applyBorder="1" applyAlignment="1">
      <alignment horizontal="right" vertical="center"/>
    </xf>
    <xf numFmtId="0" fontId="19" fillId="0" borderId="25" xfId="0" applyFont="1" applyFill="1" applyBorder="1" applyAlignment="1">
      <alignment vertical="center" wrapText="1"/>
    </xf>
    <xf numFmtId="3" fontId="18" fillId="0" borderId="27" xfId="0" applyNumberFormat="1" applyFont="1" applyFill="1" applyBorder="1" applyAlignment="1">
      <alignment vertical="center"/>
    </xf>
    <xf numFmtId="3" fontId="18" fillId="0" borderId="27" xfId="0" applyNumberFormat="1" applyFont="1" applyFill="1" applyBorder="1" applyAlignment="1">
      <alignment horizontal="right" vertical="center"/>
    </xf>
    <xf numFmtId="0" fontId="24" fillId="0" borderId="0" xfId="0" applyFont="1" applyFill="1" applyAlignment="1">
      <alignment vertical="center"/>
    </xf>
    <xf numFmtId="3" fontId="14" fillId="0" borderId="22" xfId="0" applyNumberFormat="1" applyFont="1" applyBorder="1" applyAlignment="1">
      <alignment vertical="center"/>
    </xf>
    <xf numFmtId="3" fontId="14" fillId="0" borderId="23" xfId="0" applyNumberFormat="1" applyFont="1" applyBorder="1" applyAlignment="1">
      <alignment vertical="center"/>
    </xf>
    <xf numFmtId="3" fontId="14" fillId="0" borderId="44" xfId="0" applyNumberFormat="1" applyFont="1" applyBorder="1" applyAlignment="1">
      <alignment vertical="center"/>
    </xf>
    <xf numFmtId="0" fontId="19" fillId="0" borderId="18" xfId="0" applyFont="1" applyFill="1" applyBorder="1" applyAlignment="1">
      <alignment vertical="center" wrapText="1"/>
    </xf>
    <xf numFmtId="3" fontId="18" fillId="0" borderId="22" xfId="0" applyNumberFormat="1" applyFont="1" applyBorder="1" applyAlignment="1">
      <alignment vertical="center"/>
    </xf>
    <xf numFmtId="3" fontId="18" fillId="0" borderId="23" xfId="0" applyNumberFormat="1" applyFont="1" applyBorder="1" applyAlignment="1">
      <alignment vertical="center"/>
    </xf>
    <xf numFmtId="3" fontId="18" fillId="0" borderId="24" xfId="0" applyNumberFormat="1" applyFont="1" applyBorder="1" applyAlignment="1">
      <alignment vertical="center"/>
    </xf>
    <xf numFmtId="3" fontId="19" fillId="0" borderId="22" xfId="0" applyNumberFormat="1" applyFont="1" applyBorder="1" applyAlignment="1">
      <alignment vertical="center"/>
    </xf>
    <xf numFmtId="0" fontId="25" fillId="0" borderId="22" xfId="0" applyFont="1" applyFill="1" applyBorder="1" applyAlignment="1">
      <alignment vertical="center" wrapText="1"/>
    </xf>
    <xf numFmtId="3" fontId="25" fillId="0" borderId="24" xfId="0" applyNumberFormat="1" applyFont="1" applyBorder="1" applyAlignment="1">
      <alignment vertical="center"/>
    </xf>
    <xf numFmtId="3" fontId="13" fillId="0" borderId="15" xfId="0" applyNumberFormat="1" applyFont="1" applyBorder="1" applyAlignment="1">
      <alignment horizontal="left" vertical="center"/>
    </xf>
    <xf numFmtId="3" fontId="13" fillId="0" borderId="0" xfId="0" applyNumberFormat="1" applyFont="1" applyBorder="1" applyAlignment="1">
      <alignment horizontal="left" vertical="center"/>
    </xf>
    <xf numFmtId="0" fontId="13" fillId="0" borderId="43" xfId="0" applyFont="1" applyFill="1" applyBorder="1" applyAlignment="1">
      <alignment vertical="center" wrapText="1"/>
    </xf>
    <xf numFmtId="3" fontId="13" fillId="0" borderId="13" xfId="0" applyNumberFormat="1" applyFont="1" applyBorder="1" applyAlignment="1">
      <alignment horizontal="left" vertical="center"/>
    </xf>
    <xf numFmtId="3" fontId="12" fillId="0" borderId="33" xfId="0" applyNumberFormat="1" applyFont="1" applyBorder="1" applyAlignment="1">
      <alignment vertical="center"/>
    </xf>
    <xf numFmtId="0" fontId="13" fillId="0" borderId="35" xfId="0" applyFont="1" applyFill="1" applyBorder="1" applyAlignment="1">
      <alignment vertical="center" wrapText="1"/>
    </xf>
    <xf numFmtId="3" fontId="14" fillId="0" borderId="25" xfId="0" applyNumberFormat="1" applyFont="1" applyBorder="1" applyAlignment="1">
      <alignment horizontal="centerContinuous" vertical="center"/>
    </xf>
    <xf numFmtId="3" fontId="14" fillId="0" borderId="26" xfId="0" applyNumberFormat="1" applyFont="1" applyBorder="1" applyAlignment="1">
      <alignment horizontal="centerContinuous" vertical="center"/>
    </xf>
    <xf numFmtId="3" fontId="31" fillId="0" borderId="25" xfId="0" applyNumberFormat="1" applyFont="1" applyBorder="1" applyAlignment="1">
      <alignment horizontal="center" vertical="center"/>
    </xf>
    <xf numFmtId="3" fontId="13" fillId="0" borderId="26" xfId="0" applyNumberFormat="1" applyFont="1" applyBorder="1" applyAlignment="1">
      <alignment horizontal="center" vertical="center"/>
    </xf>
    <xf numFmtId="0" fontId="12" fillId="0" borderId="27" xfId="0" applyFont="1" applyBorder="1" applyAlignment="1">
      <alignment horizontal="right" vertical="center"/>
    </xf>
    <xf numFmtId="0" fontId="19" fillId="0" borderId="34" xfId="0" applyFont="1" applyFill="1" applyBorder="1" applyAlignment="1">
      <alignment vertical="center" wrapText="1"/>
    </xf>
    <xf numFmtId="3" fontId="25" fillId="0" borderId="31" xfId="0" applyNumberFormat="1" applyFont="1" applyBorder="1" applyAlignment="1">
      <alignment horizontal="centerContinuous" vertical="center"/>
    </xf>
    <xf numFmtId="3" fontId="25" fillId="0" borderId="40" xfId="0" applyNumberFormat="1" applyFont="1" applyBorder="1" applyAlignment="1">
      <alignment horizontal="centerContinuous" vertical="center"/>
    </xf>
    <xf numFmtId="3" fontId="19" fillId="0" borderId="31" xfId="0" applyNumberFormat="1" applyFont="1" applyBorder="1" applyAlignment="1">
      <alignment horizontal="center" vertical="center"/>
    </xf>
    <xf numFmtId="3" fontId="19" fillId="0" borderId="40" xfId="0" applyNumberFormat="1" applyFont="1" applyBorder="1" applyAlignment="1">
      <alignment horizontal="center" vertical="center"/>
    </xf>
    <xf numFmtId="0" fontId="13" fillId="0" borderId="34" xfId="0" applyFont="1" applyFill="1" applyBorder="1" applyAlignment="1">
      <alignment vertical="center" wrapText="1"/>
    </xf>
    <xf numFmtId="3" fontId="13" fillId="0" borderId="31" xfId="0" applyNumberFormat="1" applyFont="1" applyBorder="1" applyAlignment="1">
      <alignment horizontal="left" vertical="center"/>
    </xf>
    <xf numFmtId="0" fontId="13" fillId="0" borderId="45" xfId="0" applyFont="1" applyFill="1" applyBorder="1" applyAlignment="1">
      <alignment vertical="center" wrapText="1"/>
    </xf>
    <xf numFmtId="3" fontId="12" fillId="0" borderId="41" xfId="0" applyNumberFormat="1" applyFont="1" applyBorder="1" applyAlignment="1">
      <alignment vertical="center"/>
    </xf>
    <xf numFmtId="3" fontId="19" fillId="0" borderId="0" xfId="0" applyNumberFormat="1" applyFont="1" applyBorder="1" applyAlignment="1">
      <alignment horizontal="left" vertical="center"/>
    </xf>
    <xf numFmtId="3" fontId="18" fillId="0" borderId="21" xfId="0" applyNumberFormat="1" applyFont="1" applyBorder="1" applyAlignment="1">
      <alignment vertical="center"/>
    </xf>
    <xf numFmtId="3" fontId="18" fillId="0" borderId="21" xfId="0" applyNumberFormat="1" applyFont="1" applyBorder="1" applyAlignment="1">
      <alignment horizontal="right" vertical="center"/>
    </xf>
    <xf numFmtId="0" fontId="13" fillId="0" borderId="43" xfId="0" applyFont="1" applyBorder="1" applyAlignment="1">
      <alignment vertical="center" wrapText="1"/>
    </xf>
    <xf numFmtId="0" fontId="13" fillId="0" borderId="0" xfId="0" applyFont="1" applyBorder="1" applyAlignment="1">
      <alignment vertical="center" wrapText="1"/>
    </xf>
    <xf numFmtId="3" fontId="12" fillId="0" borderId="0" xfId="0" applyNumberFormat="1" applyFont="1" applyBorder="1" applyAlignment="1">
      <alignment vertical="center"/>
    </xf>
    <xf numFmtId="0" fontId="19" fillId="0" borderId="46" xfId="0" applyFont="1" applyFill="1" applyBorder="1" applyAlignment="1">
      <alignment vertical="center" wrapText="1"/>
    </xf>
    <xf numFmtId="0" fontId="19" fillId="0" borderId="35" xfId="0" applyFont="1" applyFill="1" applyBorder="1" applyAlignment="1">
      <alignment vertical="center" wrapText="1"/>
    </xf>
    <xf numFmtId="3" fontId="19" fillId="0" borderId="29" xfId="0" applyNumberFormat="1" applyFont="1" applyBorder="1" applyAlignment="1">
      <alignment horizontal="left" vertical="center"/>
    </xf>
    <xf numFmtId="0" fontId="14" fillId="0" borderId="32" xfId="0" applyFont="1" applyFill="1" applyBorder="1" applyAlignment="1">
      <alignment vertical="center" wrapText="1"/>
    </xf>
    <xf numFmtId="3" fontId="19" fillId="0" borderId="22" xfId="0" applyNumberFormat="1" applyFont="1" applyBorder="1" applyAlignment="1">
      <alignment horizontal="left" vertical="center"/>
    </xf>
    <xf numFmtId="3" fontId="19" fillId="0" borderId="23" xfId="0" applyNumberFormat="1" applyFont="1" applyBorder="1" applyAlignment="1">
      <alignment horizontal="left" vertical="center"/>
    </xf>
    <xf numFmtId="3" fontId="18" fillId="0" borderId="41" xfId="0" applyNumberFormat="1" applyFont="1" applyBorder="1" applyAlignment="1">
      <alignment vertical="center"/>
    </xf>
    <xf numFmtId="3" fontId="13" fillId="0" borderId="22" xfId="0" applyNumberFormat="1" applyFont="1" applyBorder="1" applyAlignment="1">
      <alignment vertical="center"/>
    </xf>
    <xf numFmtId="0" fontId="19" fillId="0" borderId="47" xfId="0" applyFont="1" applyFill="1" applyBorder="1" applyAlignment="1">
      <alignment vertical="center" wrapText="1"/>
    </xf>
    <xf numFmtId="0" fontId="13" fillId="0" borderId="0" xfId="0" applyFont="1" applyFill="1" applyBorder="1" applyAlignment="1">
      <alignment vertical="center" wrapText="1"/>
    </xf>
    <xf numFmtId="3" fontId="36" fillId="0" borderId="43" xfId="0" applyNumberFormat="1" applyFont="1" applyBorder="1" applyAlignment="1">
      <alignment horizontal="centerContinuous" vertical="center" wrapText="1"/>
    </xf>
    <xf numFmtId="3" fontId="36" fillId="0" borderId="48" xfId="0" applyNumberFormat="1" applyFont="1" applyBorder="1" applyAlignment="1">
      <alignment horizontal="centerContinuous" vertical="center" wrapText="1"/>
    </xf>
    <xf numFmtId="0" fontId="19" fillId="0" borderId="25" xfId="0" applyFont="1" applyBorder="1" applyAlignment="1">
      <alignment vertical="center"/>
    </xf>
    <xf numFmtId="0" fontId="19" fillId="0" borderId="35" xfId="0" applyFont="1" applyBorder="1" applyAlignment="1">
      <alignment horizontal="left" vertical="center" wrapText="1"/>
    </xf>
    <xf numFmtId="0" fontId="19" fillId="0" borderId="46" xfId="0" applyFont="1" applyBorder="1" applyAlignment="1">
      <alignment horizontal="left" vertical="center" wrapText="1"/>
    </xf>
    <xf numFmtId="0" fontId="19" fillId="0" borderId="46" xfId="0" applyFont="1" applyFill="1" applyBorder="1" applyAlignment="1">
      <alignment horizontal="left" vertical="center" wrapText="1"/>
    </xf>
    <xf numFmtId="0" fontId="19" fillId="0" borderId="45" xfId="0" applyFont="1" applyBorder="1" applyAlignment="1">
      <alignment horizontal="left" vertical="center" wrapText="1"/>
    </xf>
    <xf numFmtId="0" fontId="19" fillId="0" borderId="18" xfId="0" applyFont="1" applyBorder="1" applyAlignment="1">
      <alignment horizontal="left" vertical="center" wrapText="1"/>
    </xf>
    <xf numFmtId="3" fontId="18" fillId="0" borderId="36" xfId="0" applyNumberFormat="1" applyFont="1" applyFill="1" applyBorder="1" applyAlignment="1">
      <alignment horizontal="right" vertical="center"/>
    </xf>
    <xf numFmtId="0" fontId="19" fillId="0" borderId="28" xfId="0" applyFont="1" applyFill="1" applyBorder="1" applyAlignment="1">
      <alignment vertical="center" wrapText="1"/>
    </xf>
    <xf numFmtId="3" fontId="26" fillId="0" borderId="0" xfId="0" applyNumberFormat="1" applyFont="1" applyBorder="1" applyAlignment="1">
      <alignment horizontal="right" vertical="center"/>
    </xf>
    <xf numFmtId="0" fontId="0" fillId="0" borderId="0" xfId="0" applyBorder="1" applyAlignment="1">
      <alignment horizontal="right" vertical="center"/>
    </xf>
    <xf numFmtId="3" fontId="18" fillId="0" borderId="19" xfId="0" applyNumberFormat="1" applyFont="1" applyBorder="1" applyAlignment="1">
      <alignment vertical="center"/>
    </xf>
    <xf numFmtId="0" fontId="26" fillId="0" borderId="0" xfId="0" applyFont="1" applyBorder="1" applyAlignment="1">
      <alignment horizontal="right" vertical="center"/>
    </xf>
    <xf numFmtId="3" fontId="0" fillId="0" borderId="27" xfId="0" applyNumberFormat="1" applyBorder="1"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0" fontId="11" fillId="0" borderId="0" xfId="0" applyFont="1" applyAlignment="1">
      <alignment vertical="center"/>
    </xf>
    <xf numFmtId="3" fontId="12"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14" fillId="0" borderId="32" xfId="0" applyFont="1" applyBorder="1" applyAlignment="1">
      <alignment vertical="center"/>
    </xf>
    <xf numFmtId="3" fontId="14" fillId="0" borderId="49" xfId="0" applyNumberFormat="1" applyFont="1" applyBorder="1" applyAlignment="1">
      <alignment vertical="center"/>
    </xf>
    <xf numFmtId="0" fontId="14" fillId="0" borderId="22" xfId="0" applyFont="1" applyBorder="1" applyAlignment="1">
      <alignment vertical="center"/>
    </xf>
    <xf numFmtId="3" fontId="14" fillId="0" borderId="50" xfId="0" applyNumberFormat="1" applyFont="1" applyBorder="1" applyAlignment="1">
      <alignment vertical="center"/>
    </xf>
    <xf numFmtId="3" fontId="18" fillId="0" borderId="51" xfId="0" applyNumberFormat="1" applyFont="1" applyBorder="1" applyAlignment="1">
      <alignment vertical="center"/>
    </xf>
    <xf numFmtId="3" fontId="18" fillId="0" borderId="52" xfId="0" applyNumberFormat="1" applyFont="1" applyBorder="1" applyAlignment="1">
      <alignment vertical="center"/>
    </xf>
    <xf numFmtId="3" fontId="18" fillId="0" borderId="53" xfId="0" applyNumberFormat="1" applyFont="1" applyBorder="1" applyAlignment="1">
      <alignment vertical="center"/>
    </xf>
    <xf numFmtId="3" fontId="18" fillId="0" borderId="54" xfId="0" applyNumberFormat="1" applyFont="1" applyBorder="1" applyAlignment="1">
      <alignment vertical="center"/>
    </xf>
    <xf numFmtId="3" fontId="18" fillId="0" borderId="0" xfId="0" applyNumberFormat="1" applyFont="1" applyFill="1" applyBorder="1" applyAlignment="1">
      <alignment vertical="center"/>
    </xf>
    <xf numFmtId="0" fontId="13" fillId="0" borderId="25" xfId="0" applyFont="1" applyBorder="1" applyAlignment="1">
      <alignment vertical="center"/>
    </xf>
    <xf numFmtId="3" fontId="24" fillId="0" borderId="0" xfId="0" applyNumberFormat="1" applyFont="1" applyFill="1" applyBorder="1" applyAlignment="1">
      <alignment vertical="center"/>
    </xf>
    <xf numFmtId="3" fontId="18" fillId="0" borderId="55" xfId="0" applyNumberFormat="1" applyFont="1" applyBorder="1" applyAlignment="1">
      <alignment vertical="center"/>
    </xf>
    <xf numFmtId="3" fontId="18" fillId="0" borderId="56" xfId="0" applyNumberFormat="1" applyFont="1" applyBorder="1" applyAlignment="1">
      <alignment vertical="center"/>
    </xf>
    <xf numFmtId="3" fontId="18" fillId="0" borderId="10" xfId="0" applyNumberFormat="1" applyFont="1" applyBorder="1" applyAlignment="1">
      <alignment vertical="center"/>
    </xf>
    <xf numFmtId="3" fontId="18" fillId="0" borderId="57" xfId="0" applyNumberFormat="1" applyFont="1" applyBorder="1" applyAlignment="1">
      <alignment vertical="center"/>
    </xf>
    <xf numFmtId="0" fontId="24" fillId="0" borderId="0" xfId="0" applyFont="1" applyBorder="1" applyAlignment="1">
      <alignment vertical="center"/>
    </xf>
    <xf numFmtId="0" fontId="19" fillId="0" borderId="31" xfId="0" applyFont="1" applyBorder="1" applyAlignment="1">
      <alignment vertical="center"/>
    </xf>
    <xf numFmtId="0" fontId="21" fillId="0" borderId="0" xfId="0" applyFont="1" applyBorder="1" applyAlignment="1">
      <alignment vertical="center"/>
    </xf>
    <xf numFmtId="0" fontId="19" fillId="0" borderId="35" xfId="0" applyFont="1" applyBorder="1" applyAlignment="1">
      <alignment vertical="center"/>
    </xf>
    <xf numFmtId="3" fontId="18" fillId="0" borderId="58" xfId="0" applyNumberFormat="1" applyFont="1" applyBorder="1" applyAlignment="1">
      <alignment vertical="center"/>
    </xf>
    <xf numFmtId="3" fontId="18" fillId="0" borderId="59" xfId="0" applyNumberFormat="1" applyFont="1" applyBorder="1" applyAlignment="1">
      <alignment vertical="center"/>
    </xf>
    <xf numFmtId="3" fontId="18" fillId="0" borderId="60" xfId="0" applyNumberFormat="1" applyFont="1" applyBorder="1" applyAlignment="1">
      <alignment vertical="center"/>
    </xf>
    <xf numFmtId="3" fontId="18" fillId="0" borderId="16" xfId="0" applyNumberFormat="1" applyFont="1" applyBorder="1" applyAlignment="1">
      <alignment vertical="center"/>
    </xf>
    <xf numFmtId="0" fontId="19" fillId="0" borderId="28" xfId="0" applyFont="1" applyBorder="1" applyAlignment="1">
      <alignment vertical="center"/>
    </xf>
    <xf numFmtId="3" fontId="18" fillId="0" borderId="61" xfId="0" applyNumberFormat="1" applyFont="1" applyBorder="1" applyAlignment="1">
      <alignment vertical="center"/>
    </xf>
    <xf numFmtId="3" fontId="18" fillId="0" borderId="62" xfId="0" applyNumberFormat="1" applyFont="1" applyBorder="1" applyAlignment="1">
      <alignment vertical="center"/>
    </xf>
    <xf numFmtId="3" fontId="18" fillId="0" borderId="63" xfId="0" applyNumberFormat="1" applyFont="1" applyBorder="1" applyAlignment="1">
      <alignment vertical="center"/>
    </xf>
    <xf numFmtId="3" fontId="18" fillId="0" borderId="64" xfId="0" applyNumberFormat="1" applyFont="1" applyBorder="1" applyAlignment="1">
      <alignment vertical="center"/>
    </xf>
    <xf numFmtId="3" fontId="14" fillId="0" borderId="65" xfId="0" applyNumberFormat="1" applyFont="1" applyBorder="1" applyAlignment="1">
      <alignment vertical="center"/>
    </xf>
    <xf numFmtId="0" fontId="21" fillId="0" borderId="15" xfId="0" applyFont="1" applyBorder="1" applyAlignment="1">
      <alignment vertical="center"/>
    </xf>
    <xf numFmtId="3" fontId="18" fillId="0" borderId="62" xfId="0" applyNumberFormat="1" applyFont="1" applyFill="1" applyBorder="1" applyAlignment="1">
      <alignment vertical="center"/>
    </xf>
    <xf numFmtId="3" fontId="18" fillId="0" borderId="63" xfId="0" applyNumberFormat="1" applyFont="1" applyFill="1" applyBorder="1" applyAlignment="1">
      <alignment vertical="center"/>
    </xf>
    <xf numFmtId="3" fontId="12" fillId="0" borderId="61" xfId="0" applyNumberFormat="1" applyFont="1" applyBorder="1" applyAlignment="1">
      <alignment vertical="center"/>
    </xf>
    <xf numFmtId="3" fontId="12" fillId="0" borderId="62" xfId="0" applyNumberFormat="1" applyFont="1" applyBorder="1" applyAlignment="1">
      <alignment vertical="center"/>
    </xf>
    <xf numFmtId="3" fontId="12" fillId="0" borderId="63" xfId="0" applyNumberFormat="1" applyFont="1" applyBorder="1" applyAlignment="1">
      <alignment vertical="center"/>
    </xf>
    <xf numFmtId="3" fontId="12" fillId="0" borderId="64" xfId="0" applyNumberFormat="1" applyFont="1" applyBorder="1" applyAlignment="1">
      <alignment vertical="center"/>
    </xf>
    <xf numFmtId="3" fontId="12" fillId="0" borderId="66" xfId="0" applyNumberFormat="1" applyFont="1" applyBorder="1" applyAlignment="1">
      <alignment vertical="center"/>
    </xf>
    <xf numFmtId="3" fontId="12" fillId="0" borderId="67" xfId="0" applyNumberFormat="1" applyFont="1" applyBorder="1" applyAlignment="1">
      <alignment vertical="center"/>
    </xf>
    <xf numFmtId="3" fontId="12" fillId="0" borderId="68" xfId="0" applyNumberFormat="1" applyFont="1" applyBorder="1" applyAlignment="1">
      <alignment vertical="center"/>
    </xf>
    <xf numFmtId="3" fontId="12" fillId="0" borderId="69" xfId="0" applyNumberFormat="1" applyFont="1" applyBorder="1" applyAlignment="1">
      <alignment vertical="center"/>
    </xf>
    <xf numFmtId="3" fontId="12" fillId="0" borderId="39" xfId="0" applyNumberFormat="1" applyFont="1" applyBorder="1" applyAlignment="1">
      <alignment vertical="center"/>
    </xf>
    <xf numFmtId="3" fontId="18" fillId="0" borderId="66" xfId="0" applyNumberFormat="1" applyFont="1" applyBorder="1" applyAlignment="1">
      <alignment vertical="center"/>
    </xf>
    <xf numFmtId="3" fontId="18" fillId="0" borderId="67" xfId="0" applyNumberFormat="1" applyFont="1" applyBorder="1" applyAlignment="1">
      <alignment vertical="center"/>
    </xf>
    <xf numFmtId="3" fontId="18" fillId="0" borderId="68" xfId="0" applyNumberFormat="1" applyFont="1" applyBorder="1" applyAlignment="1">
      <alignment vertical="center"/>
    </xf>
    <xf numFmtId="3" fontId="18" fillId="0" borderId="69" xfId="0" applyNumberFormat="1" applyFont="1" applyBorder="1" applyAlignment="1">
      <alignment vertical="center"/>
    </xf>
    <xf numFmtId="0" fontId="19" fillId="0" borderId="0" xfId="0" applyFont="1" applyBorder="1" applyAlignment="1">
      <alignment vertical="center"/>
    </xf>
    <xf numFmtId="3" fontId="18" fillId="0" borderId="0" xfId="0" applyNumberFormat="1" applyFont="1" applyBorder="1" applyAlignment="1">
      <alignment vertical="center"/>
    </xf>
    <xf numFmtId="0" fontId="19" fillId="33" borderId="25" xfId="0" applyFont="1" applyFill="1" applyBorder="1" applyAlignment="1">
      <alignment vertical="center" wrapText="1"/>
    </xf>
    <xf numFmtId="3" fontId="12" fillId="0" borderId="52" xfId="0" applyNumberFormat="1" applyFont="1" applyBorder="1" applyAlignment="1">
      <alignment vertical="center"/>
    </xf>
    <xf numFmtId="3" fontId="12" fillId="0" borderId="53" xfId="0" applyNumberFormat="1" applyFont="1" applyBorder="1" applyAlignment="1">
      <alignment vertical="center"/>
    </xf>
    <xf numFmtId="3" fontId="12" fillId="0" borderId="54" xfId="0" applyNumberFormat="1" applyFont="1" applyBorder="1" applyAlignment="1">
      <alignment vertical="center"/>
    </xf>
    <xf numFmtId="3" fontId="12" fillId="0" borderId="54" xfId="0" applyNumberFormat="1" applyFont="1" applyBorder="1" applyAlignment="1">
      <alignment horizontal="right" vertical="center"/>
    </xf>
    <xf numFmtId="0" fontId="22" fillId="0" borderId="15"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24" fillId="0" borderId="0" xfId="0" applyFont="1" applyAlignment="1">
      <alignment vertical="center"/>
    </xf>
    <xf numFmtId="0" fontId="19" fillId="0" borderId="25" xfId="0" applyFont="1" applyFill="1" applyBorder="1" applyAlignment="1">
      <alignment vertical="center"/>
    </xf>
    <xf numFmtId="3" fontId="18" fillId="0" borderId="51" xfId="0" applyNumberFormat="1" applyFont="1" applyFill="1" applyBorder="1" applyAlignment="1">
      <alignment vertical="center"/>
    </xf>
    <xf numFmtId="3" fontId="18" fillId="0" borderId="52" xfId="0" applyNumberFormat="1" applyFont="1" applyFill="1" applyBorder="1" applyAlignment="1">
      <alignment vertical="center"/>
    </xf>
    <xf numFmtId="3" fontId="18" fillId="0" borderId="53" xfId="0" applyNumberFormat="1" applyFont="1" applyFill="1" applyBorder="1" applyAlignment="1">
      <alignment vertical="center"/>
    </xf>
    <xf numFmtId="3" fontId="18" fillId="0" borderId="54" xfId="0" applyNumberFormat="1" applyFont="1" applyFill="1" applyBorder="1" applyAlignment="1">
      <alignment vertical="center"/>
    </xf>
    <xf numFmtId="0" fontId="19" fillId="34" borderId="28" xfId="0" applyFont="1" applyFill="1" applyBorder="1" applyAlignment="1">
      <alignment vertical="center"/>
    </xf>
    <xf numFmtId="3" fontId="18" fillId="34" borderId="61" xfId="0" applyNumberFormat="1" applyFont="1" applyFill="1" applyBorder="1" applyAlignment="1">
      <alignment vertical="center"/>
    </xf>
    <xf numFmtId="3" fontId="18" fillId="34" borderId="62" xfId="0" applyNumberFormat="1" applyFont="1" applyFill="1" applyBorder="1" applyAlignment="1">
      <alignment vertical="center"/>
    </xf>
    <xf numFmtId="3" fontId="18" fillId="34" borderId="63" xfId="0" applyNumberFormat="1" applyFont="1" applyFill="1" applyBorder="1" applyAlignment="1">
      <alignment vertical="center"/>
    </xf>
    <xf numFmtId="3" fontId="18" fillId="34" borderId="64" xfId="0" applyNumberFormat="1" applyFont="1" applyFill="1" applyBorder="1" applyAlignment="1">
      <alignment vertical="center"/>
    </xf>
    <xf numFmtId="3" fontId="18" fillId="34" borderId="30" xfId="0" applyNumberFormat="1" applyFont="1" applyFill="1" applyBorder="1" applyAlignment="1">
      <alignment vertical="center"/>
    </xf>
    <xf numFmtId="3" fontId="18" fillId="0" borderId="61" xfId="0" applyNumberFormat="1" applyFont="1" applyFill="1" applyBorder="1" applyAlignment="1">
      <alignment vertical="center"/>
    </xf>
    <xf numFmtId="3" fontId="18" fillId="0" borderId="64" xfId="0" applyNumberFormat="1" applyFont="1" applyFill="1" applyBorder="1" applyAlignment="1">
      <alignment vertical="center"/>
    </xf>
    <xf numFmtId="3" fontId="18" fillId="0" borderId="30" xfId="0" applyNumberFormat="1" applyFont="1" applyFill="1" applyBorder="1" applyAlignment="1">
      <alignment vertical="center"/>
    </xf>
    <xf numFmtId="3" fontId="18" fillId="35" borderId="62" xfId="0" applyNumberFormat="1" applyFont="1" applyFill="1" applyBorder="1" applyAlignment="1">
      <alignment vertical="center"/>
    </xf>
    <xf numFmtId="0" fontId="0" fillId="0" borderId="23" xfId="0" applyBorder="1" applyAlignment="1">
      <alignment vertical="center"/>
    </xf>
    <xf numFmtId="3" fontId="18" fillId="0" borderId="70" xfId="0" applyNumberFormat="1" applyFont="1" applyBorder="1" applyAlignment="1">
      <alignment vertical="center"/>
    </xf>
    <xf numFmtId="3" fontId="18" fillId="0" borderId="71" xfId="0" applyNumberFormat="1" applyFont="1" applyBorder="1" applyAlignment="1">
      <alignment vertical="center"/>
    </xf>
    <xf numFmtId="3" fontId="18" fillId="0" borderId="72" xfId="0" applyNumberFormat="1" applyFont="1" applyBorder="1" applyAlignment="1">
      <alignment vertical="center"/>
    </xf>
    <xf numFmtId="3" fontId="18" fillId="0" borderId="73" xfId="0" applyNumberFormat="1" applyFont="1" applyBorder="1" applyAlignment="1">
      <alignment vertical="center"/>
    </xf>
    <xf numFmtId="0" fontId="24" fillId="0" borderId="15" xfId="0" applyFont="1" applyBorder="1" applyAlignment="1">
      <alignment vertical="center"/>
    </xf>
    <xf numFmtId="0" fontId="25" fillId="0" borderId="22" xfId="0" applyFont="1" applyFill="1" applyBorder="1" applyAlignment="1">
      <alignment vertical="center"/>
    </xf>
    <xf numFmtId="3" fontId="25" fillId="0" borderId="50" xfId="0" applyNumberFormat="1" applyFont="1" applyBorder="1" applyAlignment="1">
      <alignment vertical="center"/>
    </xf>
    <xf numFmtId="3" fontId="25" fillId="0" borderId="49" xfId="0" applyNumberFormat="1" applyFont="1" applyBorder="1" applyAlignment="1">
      <alignment vertical="center"/>
    </xf>
    <xf numFmtId="0" fontId="19" fillId="0" borderId="34" xfId="0" applyFont="1" applyFill="1" applyBorder="1" applyAlignment="1">
      <alignment vertical="center"/>
    </xf>
    <xf numFmtId="0" fontId="19" fillId="0" borderId="35" xfId="0" applyFont="1" applyFill="1" applyBorder="1" applyAlignment="1">
      <alignment vertical="center"/>
    </xf>
    <xf numFmtId="0" fontId="13" fillId="0" borderId="35" xfId="0" applyFont="1" applyFill="1" applyBorder="1" applyAlignment="1">
      <alignment vertical="center"/>
    </xf>
    <xf numFmtId="0" fontId="19" fillId="0" borderId="37" xfId="0" applyFont="1" applyFill="1" applyBorder="1" applyAlignment="1">
      <alignment vertical="center"/>
    </xf>
    <xf numFmtId="0" fontId="19" fillId="0" borderId="0" xfId="0" applyFont="1" applyFill="1" applyBorder="1" applyAlignment="1">
      <alignment vertical="center"/>
    </xf>
    <xf numFmtId="0" fontId="21"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3" fontId="14" fillId="0" borderId="50" xfId="0" applyNumberFormat="1" applyFont="1" applyBorder="1" applyAlignment="1">
      <alignment horizontal="right" vertical="center"/>
    </xf>
    <xf numFmtId="3" fontId="14" fillId="0" borderId="49" xfId="0" applyNumberFormat="1" applyFont="1" applyBorder="1" applyAlignment="1">
      <alignment horizontal="right" vertical="center"/>
    </xf>
    <xf numFmtId="3" fontId="14" fillId="0" borderId="65" xfId="0" applyNumberFormat="1" applyFont="1" applyBorder="1" applyAlignment="1">
      <alignment horizontal="right" vertical="center"/>
    </xf>
    <xf numFmtId="3" fontId="14" fillId="0" borderId="24" xfId="0" applyNumberFormat="1" applyFont="1" applyBorder="1" applyAlignment="1">
      <alignment horizontal="right" vertical="center"/>
    </xf>
    <xf numFmtId="3" fontId="18" fillId="0" borderId="10" xfId="0" applyNumberFormat="1" applyFont="1" applyBorder="1" applyAlignment="1">
      <alignment horizontal="right" vertical="center"/>
    </xf>
    <xf numFmtId="3" fontId="18" fillId="0" borderId="10" xfId="0" applyNumberFormat="1" applyFont="1" applyBorder="1" applyAlignment="1">
      <alignment horizontal="right" vertical="center" shrinkToFit="1"/>
    </xf>
    <xf numFmtId="3" fontId="18" fillId="0" borderId="57" xfId="0" applyNumberFormat="1" applyFont="1" applyBorder="1" applyAlignment="1">
      <alignment horizontal="right" vertical="center"/>
    </xf>
    <xf numFmtId="3" fontId="18" fillId="0" borderId="73" xfId="0" applyNumberFormat="1" applyFont="1" applyBorder="1" applyAlignment="1">
      <alignment horizontal="right" vertical="center"/>
    </xf>
    <xf numFmtId="3" fontId="18" fillId="0" borderId="55" xfId="0" applyNumberFormat="1" applyFont="1" applyBorder="1" applyAlignment="1">
      <alignment horizontal="right" vertical="center"/>
    </xf>
    <xf numFmtId="3" fontId="18" fillId="0" borderId="55" xfId="0" applyNumberFormat="1" applyFont="1" applyBorder="1" applyAlignment="1">
      <alignment horizontal="right" vertical="center" wrapText="1"/>
    </xf>
    <xf numFmtId="3" fontId="18" fillId="0" borderId="55" xfId="0" applyNumberFormat="1" applyFont="1" applyFill="1" applyBorder="1" applyAlignment="1">
      <alignment vertical="center"/>
    </xf>
    <xf numFmtId="3" fontId="18" fillId="0" borderId="56" xfId="0" applyNumberFormat="1" applyFont="1" applyFill="1" applyBorder="1" applyAlignment="1">
      <alignment vertical="center"/>
    </xf>
    <xf numFmtId="3" fontId="18" fillId="0" borderId="10" xfId="0" applyNumberFormat="1" applyFont="1" applyFill="1" applyBorder="1" applyAlignment="1">
      <alignment vertical="center"/>
    </xf>
    <xf numFmtId="3" fontId="18" fillId="0" borderId="36" xfId="0" applyNumberFormat="1" applyFont="1" applyFill="1" applyBorder="1" applyAlignment="1">
      <alignment vertical="center"/>
    </xf>
    <xf numFmtId="0" fontId="24" fillId="0" borderId="15" xfId="0" applyFont="1" applyBorder="1" applyAlignment="1">
      <alignment vertical="center"/>
    </xf>
    <xf numFmtId="0" fontId="24" fillId="0" borderId="0" xfId="0" applyFont="1" applyBorder="1" applyAlignment="1">
      <alignment vertical="center"/>
    </xf>
    <xf numFmtId="0" fontId="14" fillId="0" borderId="32" xfId="0" applyFont="1" applyFill="1" applyBorder="1" applyAlignment="1">
      <alignment vertical="center"/>
    </xf>
    <xf numFmtId="0" fontId="13" fillId="0" borderId="45" xfId="0" applyFont="1" applyFill="1" applyBorder="1" applyAlignment="1">
      <alignment vertical="center"/>
    </xf>
    <xf numFmtId="0" fontId="24" fillId="0" borderId="0" xfId="0" applyFont="1" applyFill="1" applyBorder="1" applyAlignment="1">
      <alignment vertical="center"/>
    </xf>
    <xf numFmtId="0" fontId="19" fillId="0" borderId="43" xfId="0" applyFont="1" applyFill="1" applyBorder="1" applyAlignment="1">
      <alignment vertical="center"/>
    </xf>
    <xf numFmtId="0" fontId="19" fillId="0" borderId="47" xfId="0" applyFont="1" applyFill="1" applyBorder="1" applyAlignment="1">
      <alignment vertical="center"/>
    </xf>
    <xf numFmtId="0" fontId="17" fillId="0" borderId="0" xfId="0" applyFont="1" applyAlignment="1">
      <alignment vertical="center"/>
    </xf>
    <xf numFmtId="0" fontId="12" fillId="0" borderId="0" xfId="0" applyFont="1" applyAlignment="1">
      <alignment horizontal="right" vertical="center"/>
    </xf>
    <xf numFmtId="0" fontId="19" fillId="0" borderId="13" xfId="0" applyFont="1" applyBorder="1" applyAlignment="1">
      <alignment horizontal="right" vertical="center"/>
    </xf>
    <xf numFmtId="0" fontId="26" fillId="0" borderId="13" xfId="0" applyFont="1" applyBorder="1" applyAlignment="1">
      <alignment horizontal="right" vertical="center"/>
    </xf>
    <xf numFmtId="0" fontId="19" fillId="0" borderId="74" xfId="0" applyFont="1" applyBorder="1" applyAlignment="1">
      <alignment vertical="center"/>
    </xf>
    <xf numFmtId="0" fontId="26" fillId="0" borderId="13" xfId="0" applyFont="1" applyBorder="1" applyAlignment="1">
      <alignment vertical="center"/>
    </xf>
    <xf numFmtId="0" fontId="26" fillId="0" borderId="13" xfId="0" applyFont="1" applyFill="1" applyBorder="1" applyAlignment="1">
      <alignment vertical="center"/>
    </xf>
    <xf numFmtId="0" fontId="26" fillId="0" borderId="13" xfId="0" applyFont="1" applyBorder="1" applyAlignment="1">
      <alignment horizontal="left" vertical="center"/>
    </xf>
    <xf numFmtId="0" fontId="18" fillId="0" borderId="13" xfId="0" applyFont="1" applyBorder="1" applyAlignment="1">
      <alignment vertical="center"/>
    </xf>
    <xf numFmtId="0" fontId="16" fillId="0" borderId="0" xfId="0" applyFont="1" applyBorder="1" applyAlignment="1">
      <alignment vertical="center"/>
    </xf>
    <xf numFmtId="0" fontId="26" fillId="0" borderId="0" xfId="0" applyFont="1" applyBorder="1" applyAlignment="1">
      <alignment vertical="center"/>
    </xf>
    <xf numFmtId="0" fontId="23" fillId="0" borderId="0" xfId="0" applyFont="1" applyAlignment="1">
      <alignment vertical="center"/>
    </xf>
    <xf numFmtId="0" fontId="2" fillId="0" borderId="0" xfId="0" applyFont="1" applyAlignment="1">
      <alignment vertical="center"/>
    </xf>
    <xf numFmtId="0" fontId="19" fillId="0" borderId="40" xfId="0" applyFont="1" applyBorder="1" applyAlignment="1">
      <alignment horizontal="right" vertical="center"/>
    </xf>
    <xf numFmtId="0" fontId="26" fillId="0" borderId="26" xfId="0" applyFont="1" applyBorder="1" applyAlignment="1">
      <alignment horizontal="right" vertical="center"/>
    </xf>
    <xf numFmtId="0" fontId="2" fillId="0" borderId="26" xfId="0" applyFont="1" applyBorder="1" applyAlignment="1">
      <alignment horizontal="right" vertical="center"/>
    </xf>
    <xf numFmtId="0" fontId="19" fillId="0" borderId="54" xfId="0" applyFont="1" applyBorder="1" applyAlignment="1">
      <alignment vertical="center"/>
    </xf>
    <xf numFmtId="3" fontId="26" fillId="0" borderId="26" xfId="0" applyNumberFormat="1" applyFont="1" applyBorder="1" applyAlignment="1">
      <alignment vertical="center"/>
    </xf>
    <xf numFmtId="0" fontId="26" fillId="0" borderId="26" xfId="0" applyFont="1" applyFill="1" applyBorder="1" applyAlignment="1">
      <alignment vertical="center"/>
    </xf>
    <xf numFmtId="0" fontId="26" fillId="0" borderId="26" xfId="0" applyFont="1" applyBorder="1" applyAlignment="1">
      <alignment vertical="center"/>
    </xf>
    <xf numFmtId="3" fontId="26" fillId="0" borderId="26" xfId="0" applyNumberFormat="1" applyFont="1" applyBorder="1" applyAlignment="1">
      <alignment horizontal="right" vertical="center"/>
    </xf>
    <xf numFmtId="0" fontId="19" fillId="0" borderId="64" xfId="0" applyFont="1" applyBorder="1" applyAlignment="1">
      <alignment vertical="center"/>
    </xf>
    <xf numFmtId="0" fontId="26" fillId="0" borderId="26" xfId="0" applyFont="1" applyBorder="1" applyAlignment="1">
      <alignment horizontal="left" vertical="center"/>
    </xf>
    <xf numFmtId="0" fontId="18" fillId="0" borderId="26" xfId="0" applyFont="1" applyBorder="1" applyAlignment="1">
      <alignment vertical="center"/>
    </xf>
    <xf numFmtId="0" fontId="19" fillId="0" borderId="57" xfId="0" applyFont="1" applyBorder="1" applyAlignment="1">
      <alignment vertical="center"/>
    </xf>
    <xf numFmtId="0" fontId="26" fillId="0" borderId="40" xfId="0" applyFont="1" applyBorder="1" applyAlignment="1">
      <alignment horizontal="left" vertical="center"/>
    </xf>
    <xf numFmtId="0" fontId="18" fillId="0" borderId="40" xfId="0" applyFont="1" applyBorder="1" applyAlignment="1">
      <alignment vertical="center"/>
    </xf>
    <xf numFmtId="0" fontId="2" fillId="0" borderId="75" xfId="0" applyFont="1" applyBorder="1" applyAlignment="1">
      <alignment horizontal="right" vertical="center"/>
    </xf>
    <xf numFmtId="0" fontId="19" fillId="0" borderId="54" xfId="0" applyFont="1" applyFill="1" applyBorder="1" applyAlignment="1">
      <alignment vertical="center"/>
    </xf>
    <xf numFmtId="0" fontId="0" fillId="0" borderId="26" xfId="0" applyBorder="1" applyAlignment="1">
      <alignment vertical="center"/>
    </xf>
    <xf numFmtId="0" fontId="0" fillId="0" borderId="75" xfId="0" applyBorder="1" applyAlignment="1">
      <alignment vertical="center"/>
    </xf>
    <xf numFmtId="0" fontId="19" fillId="0" borderId="37" xfId="0" applyFont="1" applyBorder="1" applyAlignment="1">
      <alignment vertical="center"/>
    </xf>
    <xf numFmtId="3" fontId="26" fillId="0" borderId="38" xfId="0" applyNumberFormat="1" applyFont="1" applyBorder="1" applyAlignment="1">
      <alignment vertical="center"/>
    </xf>
    <xf numFmtId="0" fontId="26" fillId="0" borderId="38" xfId="0" applyFont="1" applyFill="1" applyBorder="1" applyAlignment="1">
      <alignment vertical="center"/>
    </xf>
    <xf numFmtId="0" fontId="26" fillId="0" borderId="38" xfId="0" applyFont="1" applyBorder="1" applyAlignment="1">
      <alignment horizontal="right" vertical="center"/>
    </xf>
    <xf numFmtId="0" fontId="19" fillId="0" borderId="69" xfId="0" applyFont="1" applyBorder="1" applyAlignment="1">
      <alignment vertical="center"/>
    </xf>
    <xf numFmtId="0" fontId="26" fillId="0" borderId="38" xfId="0" applyFont="1" applyBorder="1" applyAlignment="1">
      <alignment vertical="center"/>
    </xf>
    <xf numFmtId="0" fontId="19" fillId="0" borderId="0" xfId="0" applyFont="1" applyBorder="1" applyAlignment="1">
      <alignment horizontal="right" vertical="center" wrapText="1"/>
    </xf>
    <xf numFmtId="3" fontId="26" fillId="0" borderId="0" xfId="0" applyNumberFormat="1" applyFont="1" applyBorder="1" applyAlignment="1">
      <alignment vertical="center"/>
    </xf>
    <xf numFmtId="0" fontId="26" fillId="0" borderId="0" xfId="0" applyFont="1" applyFill="1" applyBorder="1" applyAlignment="1">
      <alignment vertical="center"/>
    </xf>
    <xf numFmtId="0" fontId="13" fillId="0" borderId="31" xfId="0" applyFont="1" applyFill="1" applyBorder="1" applyAlignment="1">
      <alignment vertical="center"/>
    </xf>
    <xf numFmtId="0" fontId="16" fillId="0" borderId="40" xfId="0" applyFont="1" applyBorder="1" applyAlignment="1">
      <alignment horizontal="right" vertical="center"/>
    </xf>
    <xf numFmtId="0" fontId="13" fillId="0" borderId="12" xfId="0" applyFont="1" applyFill="1" applyBorder="1" applyAlignment="1">
      <alignment vertical="center"/>
    </xf>
    <xf numFmtId="0" fontId="19" fillId="0" borderId="31" xfId="0" applyFont="1" applyBorder="1" applyAlignment="1">
      <alignment/>
    </xf>
    <xf numFmtId="3" fontId="18" fillId="0" borderId="55" xfId="0" applyNumberFormat="1" applyFont="1" applyBorder="1" applyAlignment="1">
      <alignment/>
    </xf>
    <xf numFmtId="3" fontId="18" fillId="0" borderId="56" xfId="0" applyNumberFormat="1" applyFont="1" applyBorder="1" applyAlignment="1">
      <alignment/>
    </xf>
    <xf numFmtId="3" fontId="18" fillId="0" borderId="10" xfId="0" applyNumberFormat="1" applyFont="1" applyBorder="1" applyAlignment="1">
      <alignment/>
    </xf>
    <xf numFmtId="3" fontId="18" fillId="0" borderId="57" xfId="0" applyNumberFormat="1" applyFont="1" applyBorder="1" applyAlignment="1">
      <alignment/>
    </xf>
    <xf numFmtId="3" fontId="18" fillId="0" borderId="36" xfId="0" applyNumberFormat="1" applyFont="1" applyBorder="1" applyAlignment="1">
      <alignment/>
    </xf>
    <xf numFmtId="3" fontId="18" fillId="0" borderId="0" xfId="0" applyNumberFormat="1" applyFont="1" applyFill="1" applyBorder="1" applyAlignment="1">
      <alignment/>
    </xf>
    <xf numFmtId="0" fontId="24" fillId="0" borderId="0" xfId="0" applyFont="1" applyBorder="1" applyAlignment="1">
      <alignment/>
    </xf>
    <xf numFmtId="0" fontId="24" fillId="0" borderId="0" xfId="0" applyFont="1" applyAlignment="1">
      <alignment/>
    </xf>
    <xf numFmtId="0" fontId="19" fillId="0" borderId="25" xfId="0" applyFont="1" applyBorder="1" applyAlignment="1">
      <alignment/>
    </xf>
    <xf numFmtId="3" fontId="18" fillId="0" borderId="51" xfId="0" applyNumberFormat="1" applyFont="1" applyBorder="1" applyAlignment="1">
      <alignment/>
    </xf>
    <xf numFmtId="3" fontId="18" fillId="0" borderId="52" xfId="0" applyNumberFormat="1" applyFont="1" applyBorder="1" applyAlignment="1">
      <alignment/>
    </xf>
    <xf numFmtId="3" fontId="18" fillId="0" borderId="53" xfId="0" applyNumberFormat="1" applyFont="1" applyBorder="1" applyAlignment="1">
      <alignment/>
    </xf>
    <xf numFmtId="3" fontId="18" fillId="0" borderId="54" xfId="0" applyNumberFormat="1" applyFont="1" applyBorder="1" applyAlignment="1">
      <alignment/>
    </xf>
    <xf numFmtId="3" fontId="18" fillId="0" borderId="27" xfId="0" applyNumberFormat="1" applyFont="1" applyBorder="1" applyAlignment="1">
      <alignment/>
    </xf>
    <xf numFmtId="3" fontId="18" fillId="0" borderId="51" xfId="0" applyNumberFormat="1" applyFont="1" applyFill="1" applyBorder="1" applyAlignment="1">
      <alignment/>
    </xf>
    <xf numFmtId="3" fontId="18" fillId="0" borderId="52" xfId="0" applyNumberFormat="1" applyFont="1" applyFill="1" applyBorder="1" applyAlignment="1">
      <alignment/>
    </xf>
    <xf numFmtId="3" fontId="18" fillId="0" borderId="53" xfId="0" applyNumberFormat="1" applyFont="1" applyFill="1" applyBorder="1" applyAlignment="1">
      <alignment/>
    </xf>
    <xf numFmtId="3" fontId="18" fillId="0" borderId="54" xfId="0" applyNumberFormat="1" applyFont="1" applyFill="1" applyBorder="1" applyAlignment="1">
      <alignment/>
    </xf>
    <xf numFmtId="3" fontId="18" fillId="0" borderId="27" xfId="0" applyNumberFormat="1" applyFont="1" applyFill="1" applyBorder="1" applyAlignment="1">
      <alignment/>
    </xf>
    <xf numFmtId="0" fontId="24" fillId="0" borderId="0" xfId="0" applyFont="1" applyAlignment="1">
      <alignment/>
    </xf>
    <xf numFmtId="3" fontId="18" fillId="0" borderId="53" xfId="0" applyNumberFormat="1" applyFont="1" applyBorder="1" applyAlignment="1">
      <alignment/>
    </xf>
    <xf numFmtId="3" fontId="24" fillId="0" borderId="0" xfId="0" applyNumberFormat="1" applyFont="1" applyFill="1" applyBorder="1" applyAlignment="1">
      <alignment/>
    </xf>
    <xf numFmtId="0" fontId="19" fillId="0" borderId="35" xfId="0" applyFont="1" applyBorder="1" applyAlignment="1">
      <alignment/>
    </xf>
    <xf numFmtId="0" fontId="19" fillId="0" borderId="15" xfId="0" applyFont="1" applyBorder="1" applyAlignment="1">
      <alignment/>
    </xf>
    <xf numFmtId="3" fontId="18" fillId="0" borderId="15" xfId="0" applyNumberFormat="1" applyFont="1" applyBorder="1" applyAlignment="1">
      <alignment/>
    </xf>
    <xf numFmtId="3" fontId="18" fillId="0" borderId="59" xfId="0" applyNumberFormat="1" applyFont="1" applyBorder="1" applyAlignment="1">
      <alignment/>
    </xf>
    <xf numFmtId="3" fontId="18" fillId="0" borderId="60" xfId="0" applyNumberFormat="1" applyFont="1" applyBorder="1" applyAlignment="1">
      <alignment/>
    </xf>
    <xf numFmtId="3" fontId="18" fillId="0" borderId="41" xfId="0" applyNumberFormat="1" applyFont="1" applyBorder="1" applyAlignment="1">
      <alignment/>
    </xf>
    <xf numFmtId="3" fontId="18" fillId="0" borderId="16" xfId="0" applyNumberFormat="1" applyFont="1" applyBorder="1" applyAlignment="1">
      <alignment/>
    </xf>
    <xf numFmtId="0" fontId="19" fillId="0" borderId="28" xfId="0" applyFont="1" applyBorder="1" applyAlignment="1">
      <alignment/>
    </xf>
    <xf numFmtId="3" fontId="18" fillId="0" borderId="61" xfId="0" applyNumberFormat="1" applyFont="1" applyBorder="1" applyAlignment="1">
      <alignment/>
    </xf>
    <xf numFmtId="3" fontId="18" fillId="0" borderId="62" xfId="0" applyNumberFormat="1" applyFont="1" applyBorder="1" applyAlignment="1">
      <alignment/>
    </xf>
    <xf numFmtId="3" fontId="18" fillId="0" borderId="63" xfId="0" applyNumberFormat="1" applyFont="1" applyBorder="1" applyAlignment="1">
      <alignment/>
    </xf>
    <xf numFmtId="3" fontId="18" fillId="0" borderId="64" xfId="0" applyNumberFormat="1" applyFont="1" applyBorder="1" applyAlignment="1">
      <alignment/>
    </xf>
    <xf numFmtId="3" fontId="18" fillId="0" borderId="30" xfId="0" applyNumberFormat="1" applyFont="1" applyBorder="1" applyAlignment="1">
      <alignment/>
    </xf>
    <xf numFmtId="0" fontId="19" fillId="0" borderId="46" xfId="0" applyFont="1" applyBorder="1" applyAlignment="1">
      <alignment/>
    </xf>
    <xf numFmtId="0" fontId="19" fillId="0" borderId="25" xfId="0" applyFont="1" applyBorder="1" applyAlignment="1">
      <alignment wrapText="1"/>
    </xf>
    <xf numFmtId="0" fontId="19" fillId="0" borderId="34" xfId="0" applyFont="1" applyFill="1" applyBorder="1" applyAlignment="1">
      <alignment/>
    </xf>
    <xf numFmtId="3" fontId="18" fillId="0" borderId="58" xfId="0" applyNumberFormat="1" applyFont="1" applyBorder="1" applyAlignment="1">
      <alignment/>
    </xf>
    <xf numFmtId="0" fontId="24" fillId="0" borderId="15" xfId="0" applyFont="1" applyBorder="1" applyAlignment="1">
      <alignment/>
    </xf>
    <xf numFmtId="0" fontId="19" fillId="0" borderId="43" xfId="0" applyFont="1" applyBorder="1" applyAlignment="1">
      <alignment/>
    </xf>
    <xf numFmtId="0" fontId="19" fillId="0" borderId="15" xfId="0" applyFont="1" applyBorder="1" applyAlignment="1">
      <alignment wrapText="1"/>
    </xf>
    <xf numFmtId="0" fontId="19" fillId="0" borderId="28" xfId="0" applyFont="1" applyFill="1" applyBorder="1" applyAlignment="1">
      <alignment vertical="center"/>
    </xf>
    <xf numFmtId="3" fontId="14" fillId="0" borderId="17" xfId="0" applyNumberFormat="1" applyFont="1" applyBorder="1" applyAlignment="1">
      <alignment horizontal="center" vertical="center"/>
    </xf>
    <xf numFmtId="3" fontId="14" fillId="0" borderId="42" xfId="0" applyNumberFormat="1" applyFont="1" applyBorder="1" applyAlignment="1">
      <alignment horizontal="center" vertical="center"/>
    </xf>
    <xf numFmtId="0" fontId="13" fillId="0" borderId="45" xfId="0" applyFont="1" applyFill="1" applyBorder="1" applyAlignment="1">
      <alignment/>
    </xf>
    <xf numFmtId="0" fontId="21" fillId="0" borderId="15" xfId="0" applyFont="1" applyBorder="1" applyAlignment="1">
      <alignment/>
    </xf>
    <xf numFmtId="0" fontId="0" fillId="0" borderId="0" xfId="0" applyBorder="1" applyAlignment="1">
      <alignment/>
    </xf>
    <xf numFmtId="3" fontId="14" fillId="0" borderId="42" xfId="0" applyNumberFormat="1" applyFont="1" applyBorder="1" applyAlignment="1">
      <alignment horizontal="centerContinuous" vertical="center"/>
    </xf>
    <xf numFmtId="0" fontId="0" fillId="0" borderId="0" xfId="0" applyFont="1" applyBorder="1" applyAlignment="1">
      <alignment horizontal="right" vertical="center"/>
    </xf>
    <xf numFmtId="0" fontId="0" fillId="0" borderId="0" xfId="0" applyFont="1" applyAlignment="1">
      <alignment vertical="center"/>
    </xf>
    <xf numFmtId="3" fontId="14" fillId="0" borderId="21" xfId="0" applyNumberFormat="1" applyFont="1" applyBorder="1" applyAlignment="1">
      <alignment horizontal="right" vertical="center"/>
    </xf>
    <xf numFmtId="0" fontId="0" fillId="0" borderId="0" xfId="0" applyFont="1" applyAlignment="1">
      <alignment horizontal="lef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3" fontId="0" fillId="0" borderId="0" xfId="0" applyNumberFormat="1" applyFont="1" applyAlignment="1">
      <alignment horizontal="left" vertical="center"/>
    </xf>
    <xf numFmtId="0" fontId="13" fillId="0" borderId="43" xfId="0" applyFont="1" applyFill="1" applyBorder="1" applyAlignment="1">
      <alignment vertical="center"/>
    </xf>
    <xf numFmtId="3" fontId="18" fillId="0" borderId="66" xfId="0" applyNumberFormat="1" applyFont="1" applyFill="1" applyBorder="1" applyAlignment="1">
      <alignment vertical="center"/>
    </xf>
    <xf numFmtId="3" fontId="18" fillId="0" borderId="68" xfId="0" applyNumberFormat="1" applyFont="1" applyFill="1" applyBorder="1" applyAlignment="1">
      <alignment vertical="center"/>
    </xf>
    <xf numFmtId="0" fontId="24" fillId="36" borderId="0" xfId="0" applyFont="1" applyFill="1" applyAlignment="1">
      <alignment vertical="center"/>
    </xf>
    <xf numFmtId="3" fontId="12" fillId="36" borderId="62" xfId="0" applyNumberFormat="1" applyFont="1" applyFill="1" applyBorder="1" applyAlignment="1">
      <alignment vertical="center"/>
    </xf>
    <xf numFmtId="0" fontId="19" fillId="36" borderId="46" xfId="0" applyFont="1" applyFill="1" applyBorder="1" applyAlignment="1">
      <alignment horizontal="left" vertical="center" wrapText="1"/>
    </xf>
    <xf numFmtId="0" fontId="13" fillId="36" borderId="25" xfId="0" applyFont="1" applyFill="1" applyBorder="1" applyAlignment="1">
      <alignment vertical="center"/>
    </xf>
    <xf numFmtId="3" fontId="12" fillId="36" borderId="51" xfId="0" applyNumberFormat="1" applyFont="1" applyFill="1" applyBorder="1" applyAlignment="1">
      <alignment vertical="center"/>
    </xf>
    <xf numFmtId="3" fontId="12" fillId="36" borderId="52" xfId="0" applyNumberFormat="1" applyFont="1" applyFill="1" applyBorder="1" applyAlignment="1">
      <alignment vertical="center"/>
    </xf>
    <xf numFmtId="3" fontId="12" fillId="36" borderId="53" xfId="0" applyNumberFormat="1" applyFont="1" applyFill="1" applyBorder="1" applyAlignment="1">
      <alignment vertical="center"/>
    </xf>
    <xf numFmtId="3" fontId="12" fillId="36" borderId="54" xfId="0" applyNumberFormat="1" applyFont="1" applyFill="1" applyBorder="1" applyAlignment="1">
      <alignment vertical="center"/>
    </xf>
    <xf numFmtId="3" fontId="12" fillId="36" borderId="27" xfId="0" applyNumberFormat="1" applyFont="1" applyFill="1" applyBorder="1" applyAlignment="1">
      <alignment vertical="center"/>
    </xf>
    <xf numFmtId="0" fontId="0" fillId="36" borderId="0" xfId="0" applyFont="1" applyFill="1" applyAlignment="1">
      <alignment vertical="center"/>
    </xf>
    <xf numFmtId="0" fontId="0" fillId="36" borderId="0" xfId="0" applyFont="1" applyFill="1" applyBorder="1" applyAlignment="1">
      <alignment vertical="center"/>
    </xf>
    <xf numFmtId="0" fontId="19" fillId="36" borderId="35" xfId="0" applyFont="1" applyFill="1" applyBorder="1" applyAlignment="1">
      <alignment horizontal="left" vertical="center" wrapText="1"/>
    </xf>
    <xf numFmtId="3" fontId="18" fillId="36" borderId="51" xfId="0" applyNumberFormat="1" applyFont="1" applyFill="1" applyBorder="1" applyAlignment="1">
      <alignment vertical="center"/>
    </xf>
    <xf numFmtId="3" fontId="18" fillId="36" borderId="52" xfId="0" applyNumberFormat="1" applyFont="1" applyFill="1" applyBorder="1" applyAlignment="1">
      <alignment vertical="center"/>
    </xf>
    <xf numFmtId="3" fontId="18" fillId="36" borderId="53" xfId="0" applyNumberFormat="1" applyFont="1" applyFill="1" applyBorder="1" applyAlignment="1">
      <alignment vertical="center"/>
    </xf>
    <xf numFmtId="3" fontId="18" fillId="36" borderId="54" xfId="0" applyNumberFormat="1" applyFont="1" applyFill="1" applyBorder="1" applyAlignment="1">
      <alignment vertical="center"/>
    </xf>
    <xf numFmtId="3" fontId="18" fillId="36" borderId="27" xfId="0" applyNumberFormat="1" applyFont="1" applyFill="1" applyBorder="1" applyAlignment="1">
      <alignment vertical="center"/>
    </xf>
    <xf numFmtId="3" fontId="12" fillId="0" borderId="53" xfId="0" applyNumberFormat="1" applyFont="1" applyFill="1" applyBorder="1" applyAlignment="1">
      <alignment vertical="center"/>
    </xf>
    <xf numFmtId="3" fontId="18" fillId="36" borderId="52" xfId="0" applyNumberFormat="1" applyFont="1" applyFill="1" applyBorder="1" applyAlignment="1">
      <alignment/>
    </xf>
    <xf numFmtId="3" fontId="18" fillId="36" borderId="68" xfId="0" applyNumberFormat="1" applyFont="1" applyFill="1" applyBorder="1" applyAlignment="1">
      <alignment vertical="center"/>
    </xf>
    <xf numFmtId="3" fontId="18" fillId="36" borderId="69" xfId="0" applyNumberFormat="1" applyFont="1" applyFill="1" applyBorder="1" applyAlignment="1">
      <alignment vertical="center"/>
    </xf>
    <xf numFmtId="3" fontId="18" fillId="36" borderId="66" xfId="0" applyNumberFormat="1" applyFont="1" applyFill="1" applyBorder="1" applyAlignment="1">
      <alignment vertical="center"/>
    </xf>
    <xf numFmtId="3" fontId="14" fillId="36" borderId="65" xfId="0" applyNumberFormat="1" applyFont="1" applyFill="1" applyBorder="1" applyAlignment="1">
      <alignment horizontal="right" vertical="center"/>
    </xf>
    <xf numFmtId="3" fontId="14" fillId="36" borderId="24" xfId="0" applyNumberFormat="1" applyFont="1" applyFill="1" applyBorder="1" applyAlignment="1">
      <alignment horizontal="right" vertical="center"/>
    </xf>
    <xf numFmtId="3" fontId="14" fillId="36" borderId="50" xfId="0" applyNumberFormat="1" applyFont="1" applyFill="1" applyBorder="1" applyAlignment="1">
      <alignment horizontal="right" vertical="center"/>
    </xf>
    <xf numFmtId="3" fontId="14" fillId="36" borderId="49" xfId="0" applyNumberFormat="1" applyFont="1" applyFill="1" applyBorder="1" applyAlignment="1">
      <alignment horizontal="right" vertical="center"/>
    </xf>
    <xf numFmtId="3" fontId="18" fillId="36" borderId="57" xfId="0" applyNumberFormat="1" applyFont="1" applyFill="1" applyBorder="1" applyAlignment="1">
      <alignment horizontal="right" vertical="center"/>
    </xf>
    <xf numFmtId="3" fontId="18" fillId="36" borderId="73" xfId="0" applyNumberFormat="1" applyFont="1" applyFill="1" applyBorder="1" applyAlignment="1">
      <alignment horizontal="right" vertical="center"/>
    </xf>
    <xf numFmtId="3" fontId="18" fillId="36" borderId="55" xfId="0" applyNumberFormat="1" applyFont="1" applyFill="1" applyBorder="1" applyAlignment="1">
      <alignment horizontal="right" vertical="center"/>
    </xf>
    <xf numFmtId="3" fontId="18" fillId="36" borderId="10" xfId="0" applyNumberFormat="1" applyFont="1" applyFill="1" applyBorder="1" applyAlignment="1">
      <alignment horizontal="right" vertical="center" shrinkToFit="1"/>
    </xf>
    <xf numFmtId="3" fontId="18" fillId="36" borderId="10" xfId="0" applyNumberFormat="1" applyFont="1" applyFill="1" applyBorder="1" applyAlignment="1">
      <alignment horizontal="right" vertical="center" wrapText="1"/>
    </xf>
    <xf numFmtId="3" fontId="18" fillId="36" borderId="10" xfId="0" applyNumberFormat="1" applyFont="1" applyFill="1" applyBorder="1" applyAlignment="1">
      <alignment horizontal="right" vertical="center"/>
    </xf>
    <xf numFmtId="3" fontId="25" fillId="36" borderId="49" xfId="0" applyNumberFormat="1" applyFont="1" applyFill="1" applyBorder="1" applyAlignment="1">
      <alignment vertical="center"/>
    </xf>
    <xf numFmtId="3" fontId="25" fillId="36" borderId="24" xfId="0" applyNumberFormat="1" applyFont="1" applyFill="1" applyBorder="1" applyAlignment="1">
      <alignment vertical="center"/>
    </xf>
    <xf numFmtId="3" fontId="25" fillId="36" borderId="50" xfId="0" applyNumberFormat="1" applyFont="1" applyFill="1" applyBorder="1" applyAlignment="1">
      <alignment vertical="center"/>
    </xf>
    <xf numFmtId="3" fontId="18" fillId="36" borderId="60" xfId="0" applyNumberFormat="1" applyFont="1" applyFill="1" applyBorder="1" applyAlignment="1">
      <alignment/>
    </xf>
    <xf numFmtId="3" fontId="18" fillId="36" borderId="41" xfId="0" applyNumberFormat="1" applyFont="1" applyFill="1" applyBorder="1" applyAlignment="1">
      <alignment/>
    </xf>
    <xf numFmtId="3" fontId="18" fillId="36" borderId="58" xfId="0" applyNumberFormat="1" applyFont="1" applyFill="1" applyBorder="1" applyAlignment="1">
      <alignment/>
    </xf>
    <xf numFmtId="3" fontId="18" fillId="36" borderId="59" xfId="0" applyNumberFormat="1" applyFont="1" applyFill="1" applyBorder="1" applyAlignment="1">
      <alignment/>
    </xf>
    <xf numFmtId="3" fontId="14" fillId="36" borderId="49" xfId="0" applyNumberFormat="1" applyFont="1" applyFill="1" applyBorder="1" applyAlignment="1">
      <alignment vertical="center"/>
    </xf>
    <xf numFmtId="3" fontId="14" fillId="36" borderId="24" xfId="0" applyNumberFormat="1" applyFont="1" applyFill="1" applyBorder="1" applyAlignment="1">
      <alignment vertical="center"/>
    </xf>
    <xf numFmtId="3" fontId="14" fillId="36" borderId="50" xfId="0" applyNumberFormat="1" applyFont="1" applyFill="1" applyBorder="1" applyAlignment="1">
      <alignment vertical="center"/>
    </xf>
    <xf numFmtId="3" fontId="18" fillId="36" borderId="10" xfId="0" applyNumberFormat="1" applyFont="1" applyFill="1" applyBorder="1" applyAlignment="1">
      <alignment vertical="center"/>
    </xf>
    <xf numFmtId="3" fontId="18" fillId="36" borderId="36" xfId="0" applyNumberFormat="1" applyFont="1" applyFill="1" applyBorder="1" applyAlignment="1">
      <alignment vertical="center"/>
    </xf>
    <xf numFmtId="3" fontId="18" fillId="36" borderId="55" xfId="0" applyNumberFormat="1" applyFont="1" applyFill="1" applyBorder="1" applyAlignment="1">
      <alignment vertical="center"/>
    </xf>
    <xf numFmtId="0" fontId="29" fillId="0" borderId="0" xfId="0" applyFont="1" applyAlignment="1">
      <alignment vertical="center"/>
    </xf>
    <xf numFmtId="0" fontId="14" fillId="0" borderId="0" xfId="0" applyFont="1" applyAlignment="1">
      <alignment horizontal="left" vertical="center"/>
    </xf>
    <xf numFmtId="3" fontId="18" fillId="0" borderId="48" xfId="0" applyNumberFormat="1" applyFont="1" applyBorder="1" applyAlignment="1">
      <alignment vertical="center"/>
    </xf>
    <xf numFmtId="3" fontId="18" fillId="0" borderId="76" xfId="0" applyNumberFormat="1" applyFont="1" applyBorder="1" applyAlignment="1">
      <alignment vertical="center"/>
    </xf>
    <xf numFmtId="3" fontId="18" fillId="0" borderId="77" xfId="0" applyNumberFormat="1" applyFont="1" applyBorder="1" applyAlignment="1">
      <alignment vertical="center"/>
    </xf>
    <xf numFmtId="3" fontId="18" fillId="0" borderId="74" xfId="0" applyNumberFormat="1" applyFont="1" applyBorder="1" applyAlignment="1">
      <alignment vertical="center"/>
    </xf>
    <xf numFmtId="3" fontId="18" fillId="0" borderId="76" xfId="0" applyNumberFormat="1" applyFont="1" applyFill="1" applyBorder="1" applyAlignment="1">
      <alignment vertical="center"/>
    </xf>
    <xf numFmtId="3" fontId="18" fillId="0" borderId="77" xfId="0" applyNumberFormat="1" applyFont="1" applyFill="1" applyBorder="1" applyAlignment="1">
      <alignment vertical="center"/>
    </xf>
    <xf numFmtId="3" fontId="12" fillId="0" borderId="51" xfId="0" applyNumberFormat="1" applyFont="1" applyBorder="1" applyAlignment="1">
      <alignment vertical="center"/>
    </xf>
    <xf numFmtId="0" fontId="19" fillId="0" borderId="15" xfId="0" applyFont="1" applyBorder="1" applyAlignment="1">
      <alignment vertical="center"/>
    </xf>
    <xf numFmtId="3" fontId="3" fillId="36" borderId="0" xfId="0" applyNumberFormat="1" applyFont="1" applyFill="1" applyAlignment="1">
      <alignment horizontal="center" vertical="center"/>
    </xf>
    <xf numFmtId="0" fontId="14" fillId="0" borderId="0" xfId="0" applyFont="1" applyAlignment="1">
      <alignment vertical="center"/>
    </xf>
    <xf numFmtId="0" fontId="29" fillId="0" borderId="0" xfId="0" applyFont="1" applyAlignment="1">
      <alignment horizontal="left" vertical="center"/>
    </xf>
    <xf numFmtId="0" fontId="13" fillId="0" borderId="45" xfId="0" applyFont="1" applyFill="1" applyBorder="1" applyAlignment="1">
      <alignment wrapText="1"/>
    </xf>
    <xf numFmtId="3" fontId="19" fillId="0" borderId="28" xfId="0" applyNumberFormat="1" applyFont="1" applyBorder="1" applyAlignment="1">
      <alignment horizontal="left" vertical="center" wrapText="1"/>
    </xf>
    <xf numFmtId="0" fontId="0" fillId="0" borderId="29" xfId="0" applyBorder="1" applyAlignment="1">
      <alignment horizontal="left" vertical="center" wrapText="1"/>
    </xf>
    <xf numFmtId="0" fontId="0" fillId="0" borderId="62" xfId="0" applyBorder="1" applyAlignment="1">
      <alignment horizontal="left" vertical="center" wrapText="1"/>
    </xf>
    <xf numFmtId="3" fontId="19" fillId="0" borderId="37" xfId="0" applyNumberFormat="1" applyFont="1" applyBorder="1" applyAlignment="1">
      <alignment horizontal="left" vertical="center" wrapText="1"/>
    </xf>
    <xf numFmtId="0" fontId="0" fillId="0" borderId="38" xfId="0" applyBorder="1" applyAlignment="1">
      <alignment horizontal="left" vertical="center" wrapText="1"/>
    </xf>
    <xf numFmtId="0" fontId="0" fillId="0" borderId="67" xfId="0" applyBorder="1" applyAlignment="1">
      <alignment horizontal="left" vertical="center" wrapText="1"/>
    </xf>
    <xf numFmtId="3" fontId="19" fillId="0" borderId="12"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76" xfId="0" applyBorder="1" applyAlignment="1">
      <alignment horizontal="left" vertical="center" wrapText="1"/>
    </xf>
    <xf numFmtId="3" fontId="19" fillId="0" borderId="25" xfId="0" applyNumberFormat="1" applyFont="1" applyBorder="1" applyAlignment="1">
      <alignment horizontal="left" vertical="center" wrapText="1"/>
    </xf>
    <xf numFmtId="0" fontId="0" fillId="0" borderId="26" xfId="0" applyBorder="1" applyAlignment="1">
      <alignment horizontal="left" vertical="center" wrapText="1"/>
    </xf>
    <xf numFmtId="0" fontId="0" fillId="0" borderId="52" xfId="0" applyBorder="1" applyAlignment="1">
      <alignment horizontal="left" vertical="center" wrapText="1"/>
    </xf>
    <xf numFmtId="0" fontId="0" fillId="0" borderId="31" xfId="0" applyBorder="1" applyAlignment="1">
      <alignment horizontal="left" vertical="center" wrapText="1"/>
    </xf>
    <xf numFmtId="0" fontId="0" fillId="0" borderId="40" xfId="0" applyBorder="1" applyAlignment="1">
      <alignment horizontal="left" vertical="center" wrapText="1"/>
    </xf>
    <xf numFmtId="0" fontId="0" fillId="0" borderId="56" xfId="0" applyBorder="1" applyAlignment="1">
      <alignment horizontal="left" vertical="center" wrapText="1"/>
    </xf>
    <xf numFmtId="0" fontId="19" fillId="0" borderId="46" xfId="0" applyFont="1" applyBorder="1" applyAlignment="1">
      <alignment horizontal="left" vertical="center" wrapText="1"/>
    </xf>
    <xf numFmtId="0" fontId="19" fillId="0" borderId="34" xfId="0" applyFont="1" applyBorder="1" applyAlignment="1">
      <alignment horizontal="left" vertical="center" wrapText="1"/>
    </xf>
    <xf numFmtId="3" fontId="18" fillId="0" borderId="30" xfId="0" applyNumberFormat="1" applyFont="1" applyBorder="1" applyAlignment="1">
      <alignment vertical="center"/>
    </xf>
    <xf numFmtId="0" fontId="0" fillId="0" borderId="36" xfId="0" applyBorder="1" applyAlignment="1">
      <alignment vertical="center"/>
    </xf>
    <xf numFmtId="3" fontId="19" fillId="0" borderId="28" xfId="0" applyNumberFormat="1" applyFont="1" applyBorder="1" applyAlignment="1">
      <alignment vertical="center" wrapText="1"/>
    </xf>
    <xf numFmtId="0" fontId="0" fillId="0" borderId="29" xfId="0" applyBorder="1" applyAlignment="1">
      <alignment vertical="center" wrapText="1"/>
    </xf>
    <xf numFmtId="0" fontId="0" fillId="0" borderId="62" xfId="0" applyBorder="1" applyAlignment="1">
      <alignment vertical="center" wrapText="1"/>
    </xf>
    <xf numFmtId="0" fontId="0" fillId="0" borderId="31" xfId="0" applyBorder="1" applyAlignment="1">
      <alignment vertical="center" wrapText="1"/>
    </xf>
    <xf numFmtId="0" fontId="0" fillId="0" borderId="40" xfId="0" applyBorder="1" applyAlignment="1">
      <alignment vertical="center" wrapText="1"/>
    </xf>
    <xf numFmtId="0" fontId="0" fillId="0" borderId="56" xfId="0" applyBorder="1" applyAlignment="1">
      <alignment vertical="center" wrapText="1"/>
    </xf>
    <xf numFmtId="3" fontId="18" fillId="0" borderId="36" xfId="0" applyNumberFormat="1" applyFont="1" applyBorder="1" applyAlignment="1">
      <alignment vertical="center"/>
    </xf>
    <xf numFmtId="0" fontId="10" fillId="0" borderId="0" xfId="0" applyFont="1" applyBorder="1" applyAlignment="1">
      <alignment horizontal="center" vertical="center"/>
    </xf>
    <xf numFmtId="3" fontId="14" fillId="0" borderId="11" xfId="0" applyNumberFormat="1" applyFont="1" applyBorder="1" applyAlignment="1">
      <alignment horizontal="center" vertical="center"/>
    </xf>
    <xf numFmtId="3" fontId="14" fillId="0" borderId="78" xfId="0" applyNumberFormat="1" applyFont="1" applyBorder="1" applyAlignment="1">
      <alignment horizontal="center" vertical="center"/>
    </xf>
    <xf numFmtId="3" fontId="14" fillId="0" borderId="71" xfId="0" applyNumberFormat="1" applyFont="1" applyBorder="1" applyAlignment="1">
      <alignment horizontal="center" vertical="center"/>
    </xf>
    <xf numFmtId="3" fontId="14" fillId="0" borderId="17" xfId="0" applyNumberFormat="1" applyFont="1" applyBorder="1" applyAlignment="1">
      <alignment horizontal="center" vertical="center"/>
    </xf>
    <xf numFmtId="3" fontId="14" fillId="0" borderId="42" xfId="0" applyNumberFormat="1" applyFont="1" applyBorder="1" applyAlignment="1">
      <alignment horizontal="center" vertical="center"/>
    </xf>
    <xf numFmtId="3" fontId="14" fillId="0" borderId="79" xfId="0" applyNumberFormat="1" applyFont="1" applyBorder="1" applyAlignment="1">
      <alignment horizontal="center" vertical="center"/>
    </xf>
    <xf numFmtId="3" fontId="18" fillId="0" borderId="30" xfId="0" applyNumberFormat="1" applyFont="1" applyFill="1" applyBorder="1" applyAlignment="1">
      <alignment horizontal="right" vertical="center" wrapText="1"/>
    </xf>
    <xf numFmtId="0" fontId="24" fillId="0" borderId="36" xfId="0" applyFont="1" applyFill="1" applyBorder="1" applyAlignment="1">
      <alignment vertical="center" wrapText="1"/>
    </xf>
    <xf numFmtId="3" fontId="31" fillId="0" borderId="28" xfId="0" applyNumberFormat="1" applyFont="1" applyBorder="1" applyAlignment="1">
      <alignment horizontal="center" vertical="center"/>
    </xf>
    <xf numFmtId="3" fontId="31" fillId="0" borderId="29" xfId="0" applyNumberFormat="1" applyFont="1" applyBorder="1" applyAlignment="1">
      <alignment horizontal="center" vertical="center"/>
    </xf>
    <xf numFmtId="3" fontId="31" fillId="0" borderId="62" xfId="0" applyNumberFormat="1" applyFont="1" applyBorder="1" applyAlignment="1">
      <alignment horizontal="center" vertical="center"/>
    </xf>
    <xf numFmtId="3" fontId="31" fillId="0" borderId="31" xfId="0" applyNumberFormat="1" applyFont="1" applyBorder="1" applyAlignment="1">
      <alignment horizontal="center" vertical="center"/>
    </xf>
    <xf numFmtId="3" fontId="31" fillId="0" borderId="40" xfId="0" applyNumberFormat="1" applyFont="1" applyBorder="1" applyAlignment="1">
      <alignment horizontal="center" vertical="center"/>
    </xf>
    <xf numFmtId="3" fontId="31" fillId="0" borderId="56" xfId="0" applyNumberFormat="1" applyFont="1" applyBorder="1" applyAlignment="1">
      <alignment horizontal="center" vertical="center"/>
    </xf>
    <xf numFmtId="3" fontId="19" fillId="0" borderId="26" xfId="0" applyNumberFormat="1" applyFont="1" applyBorder="1" applyAlignment="1">
      <alignment horizontal="left" vertical="center" wrapText="1"/>
    </xf>
    <xf numFmtId="3" fontId="19" fillId="0" borderId="52" xfId="0" applyNumberFormat="1" applyFont="1" applyBorder="1" applyAlignment="1">
      <alignment horizontal="left" vertical="center" wrapText="1"/>
    </xf>
    <xf numFmtId="0" fontId="19" fillId="0" borderId="18" xfId="0" applyFont="1" applyBorder="1" applyAlignment="1">
      <alignment horizontal="left" vertical="center" wrapText="1"/>
    </xf>
    <xf numFmtId="3" fontId="19" fillId="0" borderId="11" xfId="0" applyNumberFormat="1" applyFont="1" applyBorder="1" applyAlignment="1">
      <alignment horizontal="left" vertical="center" wrapText="1"/>
    </xf>
    <xf numFmtId="0" fontId="0" fillId="0" borderId="78" xfId="0" applyBorder="1" applyAlignment="1">
      <alignment horizontal="left" vertical="center" wrapText="1"/>
    </xf>
    <xf numFmtId="0" fontId="0" fillId="0" borderId="71"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59" xfId="0" applyBorder="1" applyAlignment="1">
      <alignment horizontal="left" vertical="center" wrapText="1"/>
    </xf>
    <xf numFmtId="0" fontId="19" fillId="0" borderId="46" xfId="0" applyFont="1" applyBorder="1" applyAlignment="1">
      <alignment vertical="center" wrapText="1"/>
    </xf>
    <xf numFmtId="0" fontId="19" fillId="0" borderId="34" xfId="0" applyFont="1" applyBorder="1" applyAlignment="1">
      <alignment vertical="center" wrapText="1"/>
    </xf>
    <xf numFmtId="3" fontId="18" fillId="0" borderId="30" xfId="0" applyNumberFormat="1" applyFont="1" applyBorder="1" applyAlignment="1">
      <alignment horizontal="right" vertical="center"/>
    </xf>
    <xf numFmtId="3" fontId="18" fillId="0" borderId="36" xfId="0" applyNumberFormat="1" applyFont="1" applyBorder="1" applyAlignment="1">
      <alignment horizontal="right" vertical="center"/>
    </xf>
    <xf numFmtId="3" fontId="26" fillId="0" borderId="0" xfId="0" applyNumberFormat="1" applyFont="1" applyBorder="1" applyAlignment="1">
      <alignment horizontal="right" vertical="center"/>
    </xf>
    <xf numFmtId="0" fontId="0" fillId="0" borderId="0" xfId="0" applyBorder="1" applyAlignment="1">
      <alignment horizontal="right" vertical="center"/>
    </xf>
    <xf numFmtId="3" fontId="19" fillId="0" borderId="28" xfId="0" applyNumberFormat="1" applyFont="1" applyBorder="1" applyAlignment="1">
      <alignment horizontal="left" vertical="top" wrapText="1"/>
    </xf>
    <xf numFmtId="3" fontId="19" fillId="0" borderId="29" xfId="0" applyNumberFormat="1" applyFont="1" applyBorder="1" applyAlignment="1">
      <alignment horizontal="left" vertical="top" wrapText="1"/>
    </xf>
    <xf numFmtId="3" fontId="19" fillId="0" borderId="62" xfId="0" applyNumberFormat="1" applyFont="1" applyBorder="1" applyAlignment="1">
      <alignment horizontal="left" vertical="top" wrapText="1"/>
    </xf>
    <xf numFmtId="3" fontId="19" fillId="0" borderId="31" xfId="0" applyNumberFormat="1" applyFont="1" applyBorder="1" applyAlignment="1">
      <alignment horizontal="left" vertical="top" wrapText="1"/>
    </xf>
    <xf numFmtId="3" fontId="19" fillId="0" borderId="40" xfId="0" applyNumberFormat="1" applyFont="1" applyBorder="1" applyAlignment="1">
      <alignment horizontal="left" vertical="top" wrapText="1"/>
    </xf>
    <xf numFmtId="3" fontId="19" fillId="0" borderId="56" xfId="0" applyNumberFormat="1" applyFont="1" applyBorder="1" applyAlignment="1">
      <alignment horizontal="left" vertical="top" wrapText="1"/>
    </xf>
    <xf numFmtId="3" fontId="19" fillId="0" borderId="29" xfId="0" applyNumberFormat="1" applyFont="1" applyBorder="1" applyAlignment="1">
      <alignment horizontal="left" vertical="center" wrapText="1"/>
    </xf>
    <xf numFmtId="3" fontId="19" fillId="0" borderId="62" xfId="0" applyNumberFormat="1" applyFont="1" applyBorder="1" applyAlignment="1">
      <alignment horizontal="left" vertical="center" wrapText="1"/>
    </xf>
    <xf numFmtId="3" fontId="19" fillId="0" borderId="15"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3" fontId="19" fillId="0" borderId="59" xfId="0" applyNumberFormat="1" applyFont="1" applyBorder="1" applyAlignment="1">
      <alignment horizontal="left" vertical="center" wrapText="1"/>
    </xf>
    <xf numFmtId="3" fontId="19" fillId="0" borderId="17" xfId="0" applyNumberFormat="1" applyFont="1" applyBorder="1" applyAlignment="1">
      <alignment horizontal="left" vertical="center" wrapText="1"/>
    </xf>
    <xf numFmtId="3" fontId="19" fillId="0" borderId="42" xfId="0" applyNumberFormat="1" applyFont="1" applyBorder="1" applyAlignment="1">
      <alignment horizontal="left" vertical="center" wrapText="1"/>
    </xf>
    <xf numFmtId="3" fontId="19" fillId="0" borderId="79" xfId="0" applyNumberFormat="1" applyFont="1" applyBorder="1" applyAlignment="1">
      <alignment horizontal="left" vertical="center" wrapText="1"/>
    </xf>
    <xf numFmtId="3" fontId="18" fillId="0" borderId="30" xfId="0" applyNumberFormat="1" applyFont="1" applyBorder="1" applyAlignment="1">
      <alignment horizontal="right" vertical="center" wrapText="1"/>
    </xf>
    <xf numFmtId="3" fontId="18" fillId="0" borderId="41" xfId="0" applyNumberFormat="1" applyFont="1" applyBorder="1" applyAlignment="1">
      <alignment horizontal="right" vertical="center" wrapText="1"/>
    </xf>
    <xf numFmtId="3" fontId="18" fillId="0" borderId="21" xfId="0" applyNumberFormat="1" applyFont="1" applyBorder="1" applyAlignment="1">
      <alignment horizontal="right" vertical="center" wrapText="1"/>
    </xf>
    <xf numFmtId="0" fontId="19" fillId="0" borderId="45" xfId="0" applyFont="1" applyBorder="1" applyAlignment="1">
      <alignment horizontal="left" vertical="center" wrapText="1"/>
    </xf>
    <xf numFmtId="0" fontId="19" fillId="0" borderId="20" xfId="0" applyFont="1" applyBorder="1" applyAlignment="1">
      <alignment horizontal="left" vertical="center" wrapText="1"/>
    </xf>
    <xf numFmtId="3" fontId="0" fillId="0" borderId="30" xfId="0" applyNumberFormat="1" applyBorder="1" applyAlignment="1">
      <alignment vertical="center"/>
    </xf>
    <xf numFmtId="0" fontId="0" fillId="0" borderId="41" xfId="0" applyBorder="1" applyAlignment="1">
      <alignment horizontal="right" vertical="center"/>
    </xf>
    <xf numFmtId="0" fontId="0" fillId="0" borderId="36" xfId="0" applyBorder="1" applyAlignment="1">
      <alignment horizontal="right" vertical="center"/>
    </xf>
    <xf numFmtId="3" fontId="18" fillId="0" borderId="0" xfId="0" applyNumberFormat="1" applyFont="1" applyBorder="1" applyAlignment="1">
      <alignment horizontal="center" vertical="center"/>
    </xf>
    <xf numFmtId="3" fontId="18" fillId="0" borderId="59" xfId="0" applyNumberFormat="1" applyFont="1" applyBorder="1" applyAlignment="1">
      <alignment horizontal="center" vertical="center"/>
    </xf>
    <xf numFmtId="3" fontId="18" fillId="0" borderId="40" xfId="0" applyNumberFormat="1" applyFont="1" applyBorder="1" applyAlignment="1">
      <alignment horizontal="center" vertical="center"/>
    </xf>
    <xf numFmtId="3" fontId="18" fillId="0" borderId="56" xfId="0" applyNumberFormat="1" applyFont="1" applyBorder="1" applyAlignment="1">
      <alignment horizontal="center" vertical="center"/>
    </xf>
    <xf numFmtId="3" fontId="18" fillId="0" borderId="19" xfId="0" applyNumberFormat="1" applyFont="1" applyBorder="1" applyAlignment="1">
      <alignment vertical="center"/>
    </xf>
    <xf numFmtId="0" fontId="0" fillId="0" borderId="34" xfId="0" applyBorder="1" applyAlignment="1">
      <alignment vertical="center" wrapText="1"/>
    </xf>
    <xf numFmtId="3" fontId="19" fillId="0" borderId="31" xfId="0" applyNumberFormat="1" applyFont="1" applyBorder="1" applyAlignment="1">
      <alignment horizontal="left" vertical="center" wrapText="1"/>
    </xf>
    <xf numFmtId="3" fontId="19" fillId="0" borderId="40" xfId="0" applyNumberFormat="1" applyFont="1" applyBorder="1" applyAlignment="1">
      <alignment horizontal="left" vertical="center" wrapText="1"/>
    </xf>
    <xf numFmtId="3" fontId="19" fillId="0" borderId="56" xfId="0" applyNumberFormat="1" applyFont="1" applyBorder="1" applyAlignment="1">
      <alignment horizontal="left" vertical="center" wrapText="1"/>
    </xf>
    <xf numFmtId="3" fontId="13" fillId="0" borderId="62" xfId="0" applyNumberFormat="1" applyFont="1" applyBorder="1" applyAlignment="1">
      <alignment horizontal="center" vertical="center" wrapText="1"/>
    </xf>
    <xf numFmtId="3" fontId="13" fillId="0" borderId="59" xfId="0" applyNumberFormat="1" applyFont="1" applyBorder="1" applyAlignment="1">
      <alignment horizontal="center" vertical="center" wrapText="1"/>
    </xf>
    <xf numFmtId="3" fontId="13" fillId="0" borderId="79" xfId="0" applyNumberFormat="1" applyFont="1" applyBorder="1" applyAlignment="1">
      <alignment horizontal="center" vertical="center" wrapText="1"/>
    </xf>
    <xf numFmtId="3" fontId="13" fillId="0" borderId="61" xfId="0" applyNumberFormat="1" applyFont="1" applyBorder="1" applyAlignment="1">
      <alignment horizontal="center" vertical="center" wrapText="1"/>
    </xf>
    <xf numFmtId="3" fontId="13" fillId="0" borderId="58" xfId="0" applyNumberFormat="1" applyFont="1" applyBorder="1" applyAlignment="1">
      <alignment horizontal="center" vertical="center" wrapText="1"/>
    </xf>
    <xf numFmtId="3" fontId="13" fillId="0" borderId="80" xfId="0" applyNumberFormat="1" applyFont="1" applyBorder="1" applyAlignment="1">
      <alignment horizontal="center" vertical="center" wrapText="1"/>
    </xf>
    <xf numFmtId="0" fontId="13" fillId="0" borderId="3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1" xfId="0" applyFont="1" applyBorder="1" applyAlignment="1">
      <alignment horizontal="center" vertical="center" wrapText="1"/>
    </xf>
    <xf numFmtId="3" fontId="16" fillId="0" borderId="63" xfId="0" applyNumberFormat="1" applyFont="1" applyBorder="1" applyAlignment="1">
      <alignment horizontal="center" vertical="center" wrapText="1"/>
    </xf>
    <xf numFmtId="3" fontId="16" fillId="0" borderId="60" xfId="0" applyNumberFormat="1" applyFont="1" applyBorder="1" applyAlignment="1">
      <alignment horizontal="center" vertical="center" wrapText="1"/>
    </xf>
    <xf numFmtId="3" fontId="16" fillId="0" borderId="81" xfId="0" applyNumberFormat="1" applyFont="1" applyBorder="1" applyAlignment="1">
      <alignment horizontal="center" vertical="center" wrapText="1"/>
    </xf>
    <xf numFmtId="0" fontId="13" fillId="0" borderId="63"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81" xfId="0" applyFont="1" applyBorder="1" applyAlignment="1">
      <alignment horizontal="center" vertical="center" wrapText="1"/>
    </xf>
    <xf numFmtId="3" fontId="13" fillId="0" borderId="63" xfId="0" applyNumberFormat="1" applyFont="1" applyBorder="1" applyAlignment="1">
      <alignment horizontal="center" vertical="center" wrapText="1"/>
    </xf>
    <xf numFmtId="3" fontId="13" fillId="0" borderId="60" xfId="0" applyNumberFormat="1" applyFont="1" applyBorder="1" applyAlignment="1">
      <alignment horizontal="center" vertical="center" wrapText="1"/>
    </xf>
    <xf numFmtId="3" fontId="13" fillId="0" borderId="81" xfId="0" applyNumberFormat="1" applyFont="1" applyBorder="1" applyAlignment="1">
      <alignment horizontal="center" vertical="center" wrapText="1"/>
    </xf>
    <xf numFmtId="0" fontId="13" fillId="0" borderId="63" xfId="0" applyFont="1" applyBorder="1" applyAlignment="1">
      <alignment horizontal="center" vertical="center" wrapText="1" shrinkToFit="1"/>
    </xf>
    <xf numFmtId="0" fontId="13" fillId="0" borderId="81" xfId="0" applyFont="1" applyBorder="1" applyAlignment="1">
      <alignment horizontal="center" vertical="center" wrapText="1" shrinkToFi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3" fontId="19" fillId="0" borderId="25" xfId="0" applyNumberFormat="1" applyFont="1" applyFill="1" applyBorder="1" applyAlignment="1">
      <alignment horizontal="left" vertical="center" wrapText="1"/>
    </xf>
    <xf numFmtId="0" fontId="0" fillId="0" borderId="26" xfId="0" applyFill="1" applyBorder="1" applyAlignment="1">
      <alignment horizontal="left" vertical="center" wrapText="1"/>
    </xf>
    <xf numFmtId="0" fontId="0" fillId="0" borderId="52" xfId="0" applyFill="1" applyBorder="1" applyAlignment="1">
      <alignment horizontal="left" vertical="center" wrapText="1"/>
    </xf>
    <xf numFmtId="3" fontId="12" fillId="0" borderId="30" xfId="0" applyNumberFormat="1" applyFont="1" applyBorder="1" applyAlignment="1">
      <alignment horizontal="right" vertical="center" wrapText="1"/>
    </xf>
    <xf numFmtId="0" fontId="0" fillId="0" borderId="21" xfId="0" applyBorder="1" applyAlignment="1">
      <alignment horizontal="right" vertical="center" wrapText="1"/>
    </xf>
    <xf numFmtId="3" fontId="18" fillId="0" borderId="19" xfId="0" applyNumberFormat="1" applyFont="1" applyBorder="1" applyAlignment="1">
      <alignment horizontal="right" vertical="center"/>
    </xf>
    <xf numFmtId="3" fontId="18" fillId="0" borderId="21" xfId="0" applyNumberFormat="1" applyFont="1" applyBorder="1" applyAlignment="1">
      <alignment horizontal="right" vertical="center"/>
    </xf>
    <xf numFmtId="0" fontId="19" fillId="0" borderId="18"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19" fillId="0" borderId="20" xfId="0" applyFont="1" applyFill="1" applyBorder="1" applyAlignment="1">
      <alignment horizontal="left" vertical="center" wrapText="1"/>
    </xf>
    <xf numFmtId="3" fontId="19" fillId="0" borderId="11" xfId="0" applyNumberFormat="1" applyFont="1" applyBorder="1" applyAlignment="1">
      <alignment vertical="center" wrapText="1"/>
    </xf>
    <xf numFmtId="0" fontId="0" fillId="0" borderId="78" xfId="0" applyBorder="1" applyAlignment="1">
      <alignment vertical="center" wrapText="1"/>
    </xf>
    <xf numFmtId="0" fontId="0" fillId="0" borderId="71"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0" fillId="0" borderId="17" xfId="0" applyBorder="1" applyAlignment="1">
      <alignment vertical="center" wrapText="1"/>
    </xf>
    <xf numFmtId="0" fontId="0" fillId="0" borderId="42" xfId="0" applyBorder="1" applyAlignment="1">
      <alignment vertical="center" wrapText="1"/>
    </xf>
    <xf numFmtId="0" fontId="0" fillId="0" borderId="79" xfId="0" applyBorder="1" applyAlignment="1">
      <alignment vertical="center" wrapText="1"/>
    </xf>
    <xf numFmtId="3" fontId="18" fillId="0" borderId="41" xfId="0" applyNumberFormat="1" applyFont="1" applyBorder="1" applyAlignment="1">
      <alignment horizontal="right" vertical="center"/>
    </xf>
    <xf numFmtId="3" fontId="13" fillId="0" borderId="11" xfId="0" applyNumberFormat="1" applyFont="1" applyFill="1" applyBorder="1" applyAlignment="1">
      <alignment horizontal="left" vertical="center" wrapText="1"/>
    </xf>
    <xf numFmtId="3" fontId="13" fillId="0" borderId="78" xfId="0" applyNumberFormat="1" applyFont="1" applyFill="1" applyBorder="1" applyAlignment="1">
      <alignment horizontal="left" vertical="center" wrapText="1"/>
    </xf>
    <xf numFmtId="3" fontId="13" fillId="0" borderId="71" xfId="0" applyNumberFormat="1" applyFont="1" applyFill="1" applyBorder="1" applyAlignment="1">
      <alignment horizontal="left" vertical="center" wrapText="1"/>
    </xf>
    <xf numFmtId="3" fontId="13" fillId="0" borderId="15" xfId="0" applyNumberFormat="1" applyFont="1" applyFill="1" applyBorder="1" applyAlignment="1">
      <alignment horizontal="left" vertical="center" wrapText="1"/>
    </xf>
    <xf numFmtId="3" fontId="13" fillId="0" borderId="0" xfId="0" applyNumberFormat="1" applyFont="1" applyFill="1" applyBorder="1" applyAlignment="1">
      <alignment horizontal="left" vertical="center" wrapText="1"/>
    </xf>
    <xf numFmtId="3" fontId="13" fillId="0" borderId="59" xfId="0" applyNumberFormat="1" applyFont="1" applyFill="1" applyBorder="1" applyAlignment="1">
      <alignment horizontal="left" vertical="center" wrapText="1"/>
    </xf>
    <xf numFmtId="3" fontId="13" fillId="0" borderId="17" xfId="0" applyNumberFormat="1" applyFont="1" applyFill="1" applyBorder="1" applyAlignment="1">
      <alignment horizontal="left" vertical="center" wrapText="1"/>
    </xf>
    <xf numFmtId="3" fontId="13" fillId="0" borderId="42" xfId="0" applyNumberFormat="1" applyFont="1" applyFill="1" applyBorder="1" applyAlignment="1">
      <alignment horizontal="left" vertical="center" wrapText="1"/>
    </xf>
    <xf numFmtId="3" fontId="13" fillId="0" borderId="79" xfId="0" applyNumberFormat="1" applyFont="1" applyFill="1" applyBorder="1" applyAlignment="1">
      <alignment horizontal="left" vertical="center" wrapText="1"/>
    </xf>
    <xf numFmtId="3" fontId="19" fillId="0" borderId="22" xfId="0" applyNumberFormat="1" applyFont="1" applyBorder="1" applyAlignment="1">
      <alignment horizontal="left" vertical="center" wrapText="1"/>
    </xf>
    <xf numFmtId="0" fontId="0" fillId="0" borderId="23" xfId="0" applyBorder="1" applyAlignment="1">
      <alignment horizontal="left" vertical="center" wrapText="1"/>
    </xf>
    <xf numFmtId="0" fontId="0" fillId="0" borderId="44" xfId="0" applyBorder="1" applyAlignment="1">
      <alignment horizontal="left" vertical="center" wrapText="1"/>
    </xf>
    <xf numFmtId="3" fontId="13" fillId="0" borderId="11" xfId="0" applyNumberFormat="1" applyFont="1" applyBorder="1" applyAlignment="1">
      <alignment horizontal="left" vertical="center" wrapText="1"/>
    </xf>
    <xf numFmtId="3" fontId="13" fillId="0" borderId="78" xfId="0" applyNumberFormat="1" applyFont="1" applyBorder="1" applyAlignment="1">
      <alignment horizontal="left" vertical="center" wrapText="1"/>
    </xf>
    <xf numFmtId="3" fontId="13" fillId="0" borderId="71" xfId="0" applyNumberFormat="1" applyFont="1" applyBorder="1" applyAlignment="1">
      <alignment horizontal="left" vertical="center" wrapText="1"/>
    </xf>
    <xf numFmtId="3" fontId="13" fillId="0" borderId="17" xfId="0" applyNumberFormat="1" applyFont="1" applyBorder="1" applyAlignment="1">
      <alignment horizontal="left" vertical="center" wrapText="1"/>
    </xf>
    <xf numFmtId="3" fontId="13" fillId="0" borderId="42" xfId="0" applyNumberFormat="1" applyFont="1" applyBorder="1" applyAlignment="1">
      <alignment horizontal="left" vertical="center" wrapText="1"/>
    </xf>
    <xf numFmtId="3" fontId="13" fillId="0" borderId="79" xfId="0" applyNumberFormat="1" applyFont="1" applyBorder="1" applyAlignment="1">
      <alignment horizontal="left" vertical="center" wrapText="1"/>
    </xf>
    <xf numFmtId="3" fontId="13" fillId="0" borderId="28" xfId="0" applyNumberFormat="1" applyFont="1" applyBorder="1" applyAlignment="1">
      <alignment horizontal="left" vertical="center" wrapText="1"/>
    </xf>
    <xf numFmtId="0" fontId="0" fillId="0" borderId="17" xfId="0" applyBorder="1" applyAlignment="1">
      <alignment horizontal="left" vertical="center" wrapText="1"/>
    </xf>
    <xf numFmtId="0" fontId="0" fillId="0" borderId="42" xfId="0" applyBorder="1" applyAlignment="1">
      <alignment horizontal="left" vertical="center" wrapText="1"/>
    </xf>
    <xf numFmtId="0" fontId="0" fillId="0" borderId="79" xfId="0" applyBorder="1" applyAlignment="1">
      <alignment horizontal="left" vertical="center" wrapText="1"/>
    </xf>
    <xf numFmtId="3" fontId="12" fillId="0" borderId="30" xfId="0" applyNumberFormat="1" applyFont="1" applyBorder="1" applyAlignment="1">
      <alignment vertical="center" wrapText="1"/>
    </xf>
    <xf numFmtId="0" fontId="0" fillId="0" borderId="21" xfId="0" applyBorder="1" applyAlignment="1">
      <alignment vertical="center" wrapText="1"/>
    </xf>
    <xf numFmtId="0" fontId="13" fillId="0" borderId="46" xfId="0" applyFont="1" applyBorder="1" applyAlignment="1">
      <alignment horizontal="left" vertical="center" wrapText="1"/>
    </xf>
    <xf numFmtId="0" fontId="13" fillId="0" borderId="20" xfId="0" applyFont="1" applyBorder="1" applyAlignment="1">
      <alignment horizontal="left" vertical="center" wrapText="1"/>
    </xf>
    <xf numFmtId="3" fontId="13" fillId="0" borderId="25" xfId="0" applyNumberFormat="1" applyFont="1" applyBorder="1" applyAlignment="1">
      <alignment horizontal="left" vertical="center" wrapText="1"/>
    </xf>
    <xf numFmtId="3" fontId="13" fillId="0" borderId="26" xfId="0" applyNumberFormat="1" applyFont="1" applyBorder="1" applyAlignment="1">
      <alignment horizontal="left" vertical="center" wrapText="1"/>
    </xf>
    <xf numFmtId="3" fontId="13" fillId="0" borderId="52" xfId="0" applyNumberFormat="1" applyFont="1" applyBorder="1" applyAlignment="1">
      <alignment horizontal="left" vertical="center" wrapText="1"/>
    </xf>
    <xf numFmtId="3" fontId="18" fillId="0" borderId="19" xfId="0" applyNumberFormat="1" applyFont="1" applyBorder="1" applyAlignment="1">
      <alignment horizontal="center" vertical="center"/>
    </xf>
    <xf numFmtId="3" fontId="18" fillId="0" borderId="41" xfId="0" applyNumberFormat="1" applyFont="1" applyBorder="1" applyAlignment="1">
      <alignment horizontal="center" vertical="center"/>
    </xf>
    <xf numFmtId="3" fontId="18" fillId="0" borderId="21" xfId="0" applyNumberFormat="1" applyFont="1" applyBorder="1" applyAlignment="1">
      <alignment horizontal="center" vertical="center"/>
    </xf>
    <xf numFmtId="3" fontId="13" fillId="33" borderId="28" xfId="0" applyNumberFormat="1" applyFont="1" applyFill="1" applyBorder="1" applyAlignment="1">
      <alignment horizontal="left" vertical="center" wrapText="1"/>
    </xf>
    <xf numFmtId="3" fontId="13" fillId="33" borderId="29" xfId="0" applyNumberFormat="1" applyFont="1" applyFill="1" applyBorder="1" applyAlignment="1">
      <alignment horizontal="left" vertical="center" wrapText="1"/>
    </xf>
    <xf numFmtId="3" fontId="13" fillId="33" borderId="62" xfId="0" applyNumberFormat="1" applyFont="1" applyFill="1" applyBorder="1" applyAlignment="1">
      <alignment horizontal="left" vertical="center" wrapText="1"/>
    </xf>
    <xf numFmtId="3" fontId="13" fillId="33" borderId="31" xfId="0" applyNumberFormat="1" applyFont="1" applyFill="1" applyBorder="1" applyAlignment="1">
      <alignment horizontal="left" vertical="center" wrapText="1"/>
    </xf>
    <xf numFmtId="3" fontId="13" fillId="33" borderId="40" xfId="0" applyNumberFormat="1" applyFont="1" applyFill="1" applyBorder="1" applyAlignment="1">
      <alignment horizontal="left" vertical="center" wrapText="1"/>
    </xf>
    <xf numFmtId="3" fontId="13" fillId="33" borderId="56" xfId="0" applyNumberFormat="1" applyFont="1" applyFill="1" applyBorder="1" applyAlignment="1">
      <alignment horizontal="left" vertical="center" wrapText="1"/>
    </xf>
    <xf numFmtId="3" fontId="19" fillId="0" borderId="37" xfId="0" applyNumberFormat="1" applyFont="1" applyBorder="1" applyAlignment="1">
      <alignment horizontal="center" vertical="center"/>
    </xf>
    <xf numFmtId="3" fontId="19" fillId="0" borderId="38" xfId="0" applyNumberFormat="1" applyFont="1" applyBorder="1" applyAlignment="1">
      <alignment horizontal="center" vertical="center"/>
    </xf>
    <xf numFmtId="3" fontId="19" fillId="0" borderId="67" xfId="0" applyNumberFormat="1" applyFont="1" applyBorder="1" applyAlignment="1">
      <alignment horizontal="center" vertical="center"/>
    </xf>
    <xf numFmtId="3" fontId="19" fillId="0" borderId="38" xfId="0" applyNumberFormat="1" applyFont="1" applyBorder="1" applyAlignment="1">
      <alignment horizontal="left" vertical="center" wrapText="1"/>
    </xf>
    <xf numFmtId="3" fontId="19" fillId="0" borderId="67" xfId="0" applyNumberFormat="1" applyFont="1" applyBorder="1" applyAlignment="1">
      <alignment horizontal="left" vertical="center" wrapText="1"/>
    </xf>
    <xf numFmtId="3" fontId="13" fillId="33" borderId="25" xfId="0" applyNumberFormat="1" applyFont="1" applyFill="1" applyBorder="1" applyAlignment="1">
      <alignment horizontal="left" vertical="center"/>
    </xf>
    <xf numFmtId="3" fontId="13" fillId="33" borderId="26" xfId="0" applyNumberFormat="1" applyFont="1" applyFill="1" applyBorder="1" applyAlignment="1">
      <alignment horizontal="left" vertical="center"/>
    </xf>
    <xf numFmtId="3" fontId="13" fillId="33" borderId="52" xfId="0" applyNumberFormat="1" applyFont="1" applyFill="1" applyBorder="1" applyAlignment="1">
      <alignment horizontal="left" vertical="center"/>
    </xf>
    <xf numFmtId="3" fontId="13" fillId="0" borderId="12" xfId="0" applyNumberFormat="1" applyFont="1" applyBorder="1" applyAlignment="1">
      <alignment horizontal="left" vertical="center" wrapText="1"/>
    </xf>
    <xf numFmtId="0" fontId="0" fillId="0" borderId="13" xfId="0" applyFont="1" applyBorder="1" applyAlignment="1">
      <alignment horizontal="left" vertical="center" wrapText="1"/>
    </xf>
    <xf numFmtId="0" fontId="0" fillId="0" borderId="76" xfId="0" applyFont="1" applyBorder="1" applyAlignment="1">
      <alignment horizontal="left" vertical="center" wrapText="1"/>
    </xf>
    <xf numFmtId="3" fontId="19" fillId="0" borderId="31" xfId="0" applyNumberFormat="1" applyFont="1" applyBorder="1" applyAlignment="1">
      <alignment horizontal="left" vertical="center"/>
    </xf>
    <xf numFmtId="0" fontId="0" fillId="0" borderId="40" xfId="0" applyBorder="1" applyAlignment="1">
      <alignment horizontal="left" vertical="center"/>
    </xf>
    <xf numFmtId="0" fontId="0" fillId="0" borderId="56" xfId="0" applyBorder="1" applyAlignment="1">
      <alignment horizontal="left" vertical="center"/>
    </xf>
    <xf numFmtId="3" fontId="19" fillId="0" borderId="26" xfId="0" applyNumberFormat="1" applyFont="1" applyFill="1" applyBorder="1" applyAlignment="1">
      <alignment horizontal="left" vertical="center" wrapText="1"/>
    </xf>
    <xf numFmtId="3" fontId="19" fillId="0" borderId="52" xfId="0" applyNumberFormat="1" applyFont="1" applyFill="1" applyBorder="1" applyAlignment="1">
      <alignment horizontal="left" vertical="center" wrapText="1"/>
    </xf>
    <xf numFmtId="3" fontId="19" fillId="0" borderId="25" xfId="0" applyNumberFormat="1" applyFont="1" applyFill="1" applyBorder="1" applyAlignment="1">
      <alignment horizontal="left" vertical="center"/>
    </xf>
    <xf numFmtId="3" fontId="19" fillId="0" borderId="26" xfId="0" applyNumberFormat="1" applyFont="1" applyFill="1" applyBorder="1" applyAlignment="1">
      <alignment horizontal="left" vertical="center"/>
    </xf>
    <xf numFmtId="3" fontId="19" fillId="0" borderId="52" xfId="0" applyNumberFormat="1" applyFont="1" applyFill="1" applyBorder="1" applyAlignment="1">
      <alignment horizontal="left" vertical="center"/>
    </xf>
    <xf numFmtId="3" fontId="18" fillId="0" borderId="19" xfId="0" applyNumberFormat="1" applyFont="1" applyBorder="1" applyAlignment="1">
      <alignment horizontal="right" vertical="center" wrapText="1"/>
    </xf>
    <xf numFmtId="0" fontId="0" fillId="0" borderId="36" xfId="0" applyBorder="1" applyAlignment="1">
      <alignment horizontal="righ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3" fontId="12" fillId="0" borderId="30" xfId="0" applyNumberFormat="1" applyFont="1" applyBorder="1" applyAlignment="1">
      <alignment horizontal="right" vertical="center"/>
    </xf>
    <xf numFmtId="3" fontId="18" fillId="0" borderId="19" xfId="0" applyNumberFormat="1" applyFont="1" applyBorder="1" applyAlignment="1">
      <alignment vertical="center" wrapText="1"/>
    </xf>
    <xf numFmtId="0" fontId="0" fillId="0" borderId="36" xfId="0" applyBorder="1" applyAlignment="1">
      <alignment vertical="center" wrapText="1"/>
    </xf>
    <xf numFmtId="0" fontId="0" fillId="0" borderId="29" xfId="0" applyFont="1" applyBorder="1" applyAlignment="1">
      <alignment horizontal="left" vertical="center" wrapText="1"/>
    </xf>
    <xf numFmtId="0" fontId="0" fillId="0" borderId="62" xfId="0" applyFont="1" applyBorder="1" applyAlignment="1">
      <alignment horizontal="left" vertical="center" wrapText="1"/>
    </xf>
    <xf numFmtId="3" fontId="13" fillId="0" borderId="15" xfId="0" applyNumberFormat="1" applyFont="1" applyBorder="1" applyAlignment="1">
      <alignment horizontal="left" vertical="center" wrapText="1"/>
    </xf>
    <xf numFmtId="0" fontId="0" fillId="0" borderId="0" xfId="0" applyFont="1" applyBorder="1" applyAlignment="1">
      <alignment horizontal="left" vertical="center" wrapText="1"/>
    </xf>
    <xf numFmtId="0" fontId="0" fillId="0" borderId="59" xfId="0" applyFont="1" applyBorder="1" applyAlignment="1">
      <alignment horizontal="left" vertical="center" wrapText="1"/>
    </xf>
    <xf numFmtId="0" fontId="0" fillId="0" borderId="17" xfId="0" applyFont="1" applyBorder="1" applyAlignment="1">
      <alignment horizontal="left" vertical="center" wrapText="1"/>
    </xf>
    <xf numFmtId="0" fontId="0" fillId="0" borderId="42" xfId="0" applyFont="1" applyBorder="1" applyAlignment="1">
      <alignment horizontal="left" vertical="center" wrapText="1"/>
    </xf>
    <xf numFmtId="0" fontId="0" fillId="0" borderId="79" xfId="0" applyFont="1" applyBorder="1" applyAlignment="1">
      <alignment horizontal="lef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3" fontId="19" fillId="0" borderId="25" xfId="0" applyNumberFormat="1" applyFont="1" applyBorder="1" applyAlignment="1">
      <alignment vertical="center" wrapText="1"/>
    </xf>
    <xf numFmtId="0" fontId="0" fillId="0" borderId="26" xfId="0" applyBorder="1" applyAlignment="1">
      <alignment vertical="center" wrapText="1"/>
    </xf>
    <xf numFmtId="3" fontId="12" fillId="0" borderId="36" xfId="0" applyNumberFormat="1" applyFont="1" applyBorder="1" applyAlignment="1">
      <alignment horizontal="right" vertical="center"/>
    </xf>
    <xf numFmtId="3" fontId="19" fillId="0" borderId="28" xfId="0" applyNumberFormat="1" applyFont="1" applyBorder="1" applyAlignment="1">
      <alignment horizontal="left" vertical="center"/>
    </xf>
    <xf numFmtId="3" fontId="19" fillId="0" borderId="29" xfId="0" applyNumberFormat="1" applyFont="1" applyBorder="1" applyAlignment="1">
      <alignment horizontal="left" vertical="center"/>
    </xf>
    <xf numFmtId="3" fontId="19" fillId="0" borderId="62" xfId="0" applyNumberFormat="1" applyFont="1" applyBorder="1" applyAlignment="1">
      <alignment horizontal="left" vertical="center"/>
    </xf>
    <xf numFmtId="3" fontId="19" fillId="0" borderId="40" xfId="0" applyNumberFormat="1" applyFont="1" applyBorder="1" applyAlignment="1">
      <alignment horizontal="left" vertical="center"/>
    </xf>
    <xf numFmtId="3" fontId="19" fillId="0" borderId="56" xfId="0" applyNumberFormat="1" applyFont="1" applyBorder="1" applyAlignment="1">
      <alignment horizontal="left" vertical="center"/>
    </xf>
    <xf numFmtId="0" fontId="26" fillId="0" borderId="0" xfId="0" applyFont="1" applyBorder="1" applyAlignment="1">
      <alignment horizontal="right" vertical="center"/>
    </xf>
    <xf numFmtId="3" fontId="19" fillId="0" borderId="25" xfId="0" applyNumberFormat="1" applyFont="1" applyBorder="1" applyAlignment="1">
      <alignment horizontal="left" vertical="center"/>
    </xf>
    <xf numFmtId="0" fontId="18" fillId="0" borderId="26" xfId="0" applyFont="1" applyBorder="1" applyAlignment="1">
      <alignment horizontal="left" vertical="center"/>
    </xf>
    <xf numFmtId="0" fontId="0" fillId="0" borderId="29" xfId="0" applyBorder="1" applyAlignment="1">
      <alignment horizontal="left" vertical="center"/>
    </xf>
    <xf numFmtId="0" fontId="0" fillId="0" borderId="62" xfId="0" applyBorder="1" applyAlignment="1">
      <alignment horizontal="left" vertical="center"/>
    </xf>
    <xf numFmtId="0" fontId="0" fillId="0" borderId="31" xfId="0" applyBorder="1" applyAlignment="1">
      <alignment horizontal="left" vertical="center"/>
    </xf>
    <xf numFmtId="0" fontId="29" fillId="0" borderId="0" xfId="0" applyFont="1" applyAlignment="1">
      <alignment horizontal="left" vertical="center"/>
    </xf>
    <xf numFmtId="0" fontId="29" fillId="0" borderId="0" xfId="0" applyFont="1" applyAlignment="1">
      <alignment vertical="center"/>
    </xf>
    <xf numFmtId="0" fontId="10" fillId="0" borderId="0" xfId="0" applyFont="1" applyAlignment="1">
      <alignment horizontal="center" vertical="center"/>
    </xf>
    <xf numFmtId="3" fontId="26" fillId="0" borderId="13" xfId="0" applyNumberFormat="1" applyFont="1" applyBorder="1" applyAlignment="1">
      <alignment horizontal="right" vertical="center"/>
    </xf>
    <xf numFmtId="0" fontId="0" fillId="0" borderId="14" xfId="0" applyBorder="1" applyAlignment="1">
      <alignment horizontal="right" vertical="center"/>
    </xf>
    <xf numFmtId="0" fontId="26" fillId="0" borderId="38" xfId="0" applyFont="1" applyBorder="1" applyAlignment="1">
      <alignment horizontal="right" vertical="center"/>
    </xf>
    <xf numFmtId="0" fontId="0" fillId="0" borderId="82" xfId="0" applyBorder="1" applyAlignment="1">
      <alignment horizontal="right" vertical="center"/>
    </xf>
    <xf numFmtId="3" fontId="26" fillId="0" borderId="38" xfId="0" applyNumberFormat="1" applyFont="1" applyBorder="1" applyAlignment="1">
      <alignment horizontal="right" vertical="center"/>
    </xf>
    <xf numFmtId="0" fontId="0" fillId="0" borderId="67" xfId="0" applyBorder="1" applyAlignment="1">
      <alignment horizontal="right" vertical="center"/>
    </xf>
    <xf numFmtId="3" fontId="26" fillId="0" borderId="26" xfId="0" applyNumberFormat="1" applyFont="1" applyBorder="1" applyAlignment="1">
      <alignment horizontal="right" vertical="center"/>
    </xf>
    <xf numFmtId="0" fontId="0" fillId="0" borderId="52" xfId="0" applyBorder="1" applyAlignment="1">
      <alignment horizontal="right" vertical="center"/>
    </xf>
    <xf numFmtId="0" fontId="0" fillId="0" borderId="75" xfId="0" applyBorder="1" applyAlignment="1">
      <alignment horizontal="right" vertical="center"/>
    </xf>
    <xf numFmtId="0" fontId="26" fillId="0" borderId="13" xfId="0" applyFont="1" applyBorder="1" applyAlignment="1">
      <alignment horizontal="right" vertical="center"/>
    </xf>
    <xf numFmtId="0" fontId="0" fillId="0" borderId="13" xfId="0" applyBorder="1" applyAlignment="1">
      <alignment horizontal="right" vertical="center"/>
    </xf>
    <xf numFmtId="0" fontId="35" fillId="0" borderId="26" xfId="0" applyFont="1" applyBorder="1" applyAlignment="1">
      <alignment horizontal="left" vertical="center" wrapText="1"/>
    </xf>
    <xf numFmtId="0" fontId="35" fillId="0" borderId="52" xfId="0" applyFont="1" applyBorder="1" applyAlignment="1">
      <alignment horizontal="left" vertical="center" wrapText="1"/>
    </xf>
    <xf numFmtId="3" fontId="13" fillId="0" borderId="28" xfId="0" applyNumberFormat="1" applyFont="1" applyBorder="1" applyAlignment="1">
      <alignment horizontal="left" vertical="center" wrapText="1"/>
    </xf>
    <xf numFmtId="0" fontId="0" fillId="0" borderId="29" xfId="0" applyFont="1" applyBorder="1" applyAlignment="1">
      <alignment horizontal="left" vertical="center" wrapText="1"/>
    </xf>
    <xf numFmtId="0" fontId="0" fillId="0" borderId="62"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56" xfId="0" applyFont="1" applyBorder="1" applyAlignment="1">
      <alignment horizontal="left" vertical="center" wrapText="1"/>
    </xf>
    <xf numFmtId="0" fontId="0" fillId="0" borderId="36" xfId="0" applyFont="1" applyBorder="1" applyAlignment="1">
      <alignment horizontal="righ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14" fillId="0" borderId="0" xfId="0" applyFont="1" applyAlignment="1">
      <alignment horizontal="left" vertical="center"/>
    </xf>
    <xf numFmtId="3" fontId="19" fillId="0" borderId="26" xfId="0" applyNumberFormat="1" applyFont="1" applyBorder="1" applyAlignment="1">
      <alignment horizontal="left" vertical="center"/>
    </xf>
    <xf numFmtId="3" fontId="19" fillId="0" borderId="52" xfId="0" applyNumberFormat="1" applyFont="1" applyBorder="1" applyAlignment="1">
      <alignment horizontal="left" vertical="center"/>
    </xf>
    <xf numFmtId="3" fontId="19" fillId="0" borderId="25" xfId="0" applyNumberFormat="1" applyFont="1" applyFill="1" applyBorder="1" applyAlignment="1">
      <alignment vertical="center" wrapText="1"/>
    </xf>
    <xf numFmtId="0" fontId="0" fillId="0" borderId="26" xfId="0" applyFill="1" applyBorder="1" applyAlignment="1">
      <alignment vertical="center" wrapText="1"/>
    </xf>
    <xf numFmtId="0" fontId="9" fillId="0" borderId="18"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20" xfId="0" applyFont="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256"/>
  <sheetViews>
    <sheetView showGridLines="0" zoomScalePageLayoutView="0" workbookViewId="0" topLeftCell="D234">
      <selection activeCell="D234" sqref="A1:IV16384"/>
    </sheetView>
  </sheetViews>
  <sheetFormatPr defaultColWidth="9.00390625" defaultRowHeight="12.75"/>
  <cols>
    <col min="1" max="1" width="35.25390625" style="8" customWidth="1"/>
    <col min="2" max="7" width="7.125" style="8" customWidth="1"/>
    <col min="8" max="8" width="7.625" style="8" customWidth="1"/>
    <col min="9" max="9" width="7.875" style="8" customWidth="1"/>
    <col min="10" max="13" width="7.125" style="8" customWidth="1"/>
    <col min="14" max="14" width="7.75390625" style="8" customWidth="1"/>
    <col min="15" max="15" width="7.125" style="8" customWidth="1"/>
    <col min="16" max="16" width="7.625" style="8" customWidth="1"/>
    <col min="17" max="17" width="7.125" style="8" customWidth="1"/>
    <col min="18" max="18" width="7.875" style="8" customWidth="1"/>
    <col min="19" max="20" width="7.125" style="8" customWidth="1"/>
    <col min="21" max="21" width="7.25390625" style="8" customWidth="1"/>
    <col min="22" max="22" width="7.875" style="8" customWidth="1"/>
    <col min="23" max="16384" width="9.125" style="8" customWidth="1"/>
  </cols>
  <sheetData>
    <row r="1" spans="1:22" ht="12.75" customHeight="1">
      <c r="A1" s="154"/>
      <c r="B1" s="155" t="s">
        <v>16</v>
      </c>
      <c r="C1" s="156"/>
      <c r="D1" s="155" t="s">
        <v>16</v>
      </c>
      <c r="E1" s="155"/>
      <c r="F1" s="155" t="s">
        <v>16</v>
      </c>
      <c r="G1" s="155"/>
      <c r="H1" s="155"/>
      <c r="I1" s="155"/>
      <c r="J1" s="155"/>
      <c r="K1" s="155"/>
      <c r="L1" s="155"/>
      <c r="M1" s="155" t="s">
        <v>16</v>
      </c>
      <c r="N1" s="155"/>
      <c r="O1" s="155"/>
      <c r="P1" s="155"/>
      <c r="Q1" s="155"/>
      <c r="R1" s="655" t="s">
        <v>151</v>
      </c>
      <c r="S1" s="655"/>
      <c r="T1" s="655"/>
      <c r="U1" s="655"/>
      <c r="V1" s="655"/>
    </row>
    <row r="2" spans="1:22" ht="12.75" customHeight="1">
      <c r="A2" s="157" t="s">
        <v>16</v>
      </c>
      <c r="B2" s="158" t="s">
        <v>16</v>
      </c>
      <c r="C2" s="158" t="s">
        <v>16</v>
      </c>
      <c r="D2" s="158"/>
      <c r="E2" s="158"/>
      <c r="F2" s="159"/>
      <c r="G2" s="158"/>
      <c r="H2" s="158"/>
      <c r="I2" s="158"/>
      <c r="J2" s="158"/>
      <c r="K2" s="158"/>
      <c r="L2" s="158"/>
      <c r="M2" s="158"/>
      <c r="N2" s="158"/>
      <c r="O2" s="158"/>
      <c r="P2" s="158"/>
      <c r="Q2" s="158"/>
      <c r="R2" s="656" t="s">
        <v>102</v>
      </c>
      <c r="S2" s="656"/>
      <c r="T2" s="656"/>
      <c r="U2" s="656"/>
      <c r="V2" s="656"/>
    </row>
    <row r="3" spans="1:22" ht="16.5" customHeight="1">
      <c r="A3" s="657" t="s">
        <v>144</v>
      </c>
      <c r="B3" s="657"/>
      <c r="C3" s="657"/>
      <c r="D3" s="657"/>
      <c r="E3" s="657"/>
      <c r="F3" s="657"/>
      <c r="G3" s="657"/>
      <c r="H3" s="657"/>
      <c r="I3" s="657"/>
      <c r="J3" s="657"/>
      <c r="K3" s="657"/>
      <c r="L3" s="657"/>
      <c r="M3" s="657"/>
      <c r="N3" s="657"/>
      <c r="O3" s="657"/>
      <c r="P3" s="657"/>
      <c r="Q3" s="657"/>
      <c r="R3" s="657"/>
      <c r="S3" s="657"/>
      <c r="T3" s="657"/>
      <c r="U3" s="657"/>
      <c r="V3" s="657"/>
    </row>
    <row r="4" spans="1:22" ht="15" customHeight="1" thickBot="1">
      <c r="A4" s="160" t="s">
        <v>51</v>
      </c>
      <c r="B4" s="161"/>
      <c r="C4" s="161"/>
      <c r="D4" s="162"/>
      <c r="E4" s="162"/>
      <c r="F4" s="162"/>
      <c r="G4" s="162"/>
      <c r="H4" s="162"/>
      <c r="I4" s="162"/>
      <c r="J4" s="162"/>
      <c r="K4" s="162"/>
      <c r="L4" s="162"/>
      <c r="M4" s="162"/>
      <c r="N4" s="162"/>
      <c r="O4" s="162"/>
      <c r="P4" s="162"/>
      <c r="Q4" s="162"/>
      <c r="R4" s="162"/>
      <c r="S4" s="162"/>
      <c r="T4" s="162"/>
      <c r="U4" s="162"/>
      <c r="V4" s="163" t="s">
        <v>8</v>
      </c>
    </row>
    <row r="5" spans="1:22" ht="12.75">
      <c r="A5" s="3"/>
      <c r="B5" s="4" t="s">
        <v>9</v>
      </c>
      <c r="C5" s="5"/>
      <c r="D5" s="5"/>
      <c r="E5" s="5"/>
      <c r="F5" s="5"/>
      <c r="G5" s="5"/>
      <c r="H5" s="5"/>
      <c r="I5" s="6"/>
      <c r="J5" s="4" t="s">
        <v>10</v>
      </c>
      <c r="K5" s="5"/>
      <c r="L5" s="7"/>
      <c r="M5" s="5"/>
      <c r="N5" s="6"/>
      <c r="O5" s="542" t="s">
        <v>11</v>
      </c>
      <c r="P5" s="543"/>
      <c r="Q5" s="543"/>
      <c r="R5" s="544"/>
      <c r="S5" s="542" t="s">
        <v>12</v>
      </c>
      <c r="T5" s="545"/>
      <c r="U5" s="545"/>
      <c r="V5" s="546"/>
    </row>
    <row r="6" spans="1:23" s="13" customFormat="1" ht="14.25" customHeight="1">
      <c r="A6" s="9" t="s">
        <v>0</v>
      </c>
      <c r="B6" s="525" t="s">
        <v>146</v>
      </c>
      <c r="C6" s="537" t="s">
        <v>147</v>
      </c>
      <c r="D6" s="522" t="s">
        <v>78</v>
      </c>
      <c r="E6" s="10" t="s">
        <v>13</v>
      </c>
      <c r="F6" s="10"/>
      <c r="G6" s="10"/>
      <c r="H6" s="11"/>
      <c r="I6" s="528" t="s">
        <v>193</v>
      </c>
      <c r="J6" s="525" t="s">
        <v>146</v>
      </c>
      <c r="K6" s="537" t="s">
        <v>194</v>
      </c>
      <c r="L6" s="522" t="s">
        <v>80</v>
      </c>
      <c r="M6" s="534" t="s">
        <v>81</v>
      </c>
      <c r="N6" s="528" t="s">
        <v>148</v>
      </c>
      <c r="O6" s="525" t="s">
        <v>149</v>
      </c>
      <c r="P6" s="531" t="s">
        <v>150</v>
      </c>
      <c r="Q6" s="534" t="s">
        <v>81</v>
      </c>
      <c r="R6" s="528" t="s">
        <v>193</v>
      </c>
      <c r="S6" s="525" t="s">
        <v>149</v>
      </c>
      <c r="T6" s="531" t="s">
        <v>150</v>
      </c>
      <c r="U6" s="534" t="s">
        <v>81</v>
      </c>
      <c r="V6" s="528" t="s">
        <v>193</v>
      </c>
      <c r="W6" s="12" t="s">
        <v>16</v>
      </c>
    </row>
    <row r="7" spans="1:22" ht="12.75" customHeight="1">
      <c r="A7" s="14"/>
      <c r="B7" s="526"/>
      <c r="C7" s="538" t="s">
        <v>30</v>
      </c>
      <c r="D7" s="523"/>
      <c r="E7" s="540" t="s">
        <v>87</v>
      </c>
      <c r="F7" s="540" t="s">
        <v>59</v>
      </c>
      <c r="G7" s="540" t="s">
        <v>60</v>
      </c>
      <c r="H7" s="534" t="s">
        <v>79</v>
      </c>
      <c r="I7" s="529"/>
      <c r="J7" s="526"/>
      <c r="K7" s="538" t="s">
        <v>30</v>
      </c>
      <c r="L7" s="523"/>
      <c r="M7" s="535"/>
      <c r="N7" s="529"/>
      <c r="O7" s="526"/>
      <c r="P7" s="532"/>
      <c r="Q7" s="535"/>
      <c r="R7" s="529"/>
      <c r="S7" s="526"/>
      <c r="T7" s="532"/>
      <c r="U7" s="535"/>
      <c r="V7" s="529"/>
    </row>
    <row r="8" spans="1:22" ht="53.25" customHeight="1" thickBot="1">
      <c r="A8" s="15" t="s">
        <v>16</v>
      </c>
      <c r="B8" s="527"/>
      <c r="C8" s="539" t="s">
        <v>58</v>
      </c>
      <c r="D8" s="524"/>
      <c r="E8" s="541"/>
      <c r="F8" s="541"/>
      <c r="G8" s="541"/>
      <c r="H8" s="536"/>
      <c r="I8" s="530"/>
      <c r="J8" s="527"/>
      <c r="K8" s="539" t="s">
        <v>58</v>
      </c>
      <c r="L8" s="524"/>
      <c r="M8" s="536"/>
      <c r="N8" s="530"/>
      <c r="O8" s="527"/>
      <c r="P8" s="533"/>
      <c r="Q8" s="536"/>
      <c r="R8" s="530"/>
      <c r="S8" s="527"/>
      <c r="T8" s="533"/>
      <c r="U8" s="536"/>
      <c r="V8" s="530"/>
    </row>
    <row r="9" spans="1:22" s="42" customFormat="1" ht="13.5" thickBot="1">
      <c r="A9" s="164"/>
      <c r="B9" s="165">
        <f aca="true" t="shared" si="0" ref="B9:V9">SUM(B10+B25+B40+B64+B81+B83+B85+B96+B98+B101+B103+B105+B107)</f>
        <v>46924</v>
      </c>
      <c r="C9" s="165">
        <f t="shared" si="0"/>
        <v>38609</v>
      </c>
      <c r="D9" s="165">
        <f t="shared" si="0"/>
        <v>73747</v>
      </c>
      <c r="E9" s="165">
        <f t="shared" si="0"/>
        <v>32879</v>
      </c>
      <c r="F9" s="165">
        <f t="shared" si="0"/>
        <v>8276</v>
      </c>
      <c r="G9" s="165">
        <f t="shared" si="0"/>
        <v>10343</v>
      </c>
      <c r="H9" s="165">
        <f t="shared" si="0"/>
        <v>82570</v>
      </c>
      <c r="I9" s="165">
        <f t="shared" si="0"/>
        <v>38101</v>
      </c>
      <c r="J9" s="165">
        <f t="shared" si="0"/>
        <v>35503</v>
      </c>
      <c r="K9" s="165">
        <f t="shared" si="0"/>
        <v>27951</v>
      </c>
      <c r="L9" s="165">
        <f t="shared" si="0"/>
        <v>8435</v>
      </c>
      <c r="M9" s="165">
        <f t="shared" si="0"/>
        <v>19461</v>
      </c>
      <c r="N9" s="165">
        <f t="shared" si="0"/>
        <v>24477</v>
      </c>
      <c r="O9" s="165">
        <f t="shared" si="0"/>
        <v>26547</v>
      </c>
      <c r="P9" s="165">
        <f t="shared" si="0"/>
        <v>24651</v>
      </c>
      <c r="Q9" s="165">
        <f t="shared" si="0"/>
        <v>17895</v>
      </c>
      <c r="R9" s="165">
        <f t="shared" si="0"/>
        <v>8652</v>
      </c>
      <c r="S9" s="165">
        <f t="shared" si="0"/>
        <v>11865</v>
      </c>
      <c r="T9" s="165">
        <f t="shared" si="0"/>
        <v>11835</v>
      </c>
      <c r="U9" s="165">
        <f t="shared" si="0"/>
        <v>4213</v>
      </c>
      <c r="V9" s="165">
        <f t="shared" si="0"/>
        <v>7652</v>
      </c>
    </row>
    <row r="10" spans="1:22" s="86" customFormat="1" ht="13.5" thickBot="1">
      <c r="A10" s="166" t="s">
        <v>14</v>
      </c>
      <c r="B10" s="167">
        <f aca="true" t="shared" si="1" ref="B10:V10">SUM(B11:B24)</f>
        <v>1988</v>
      </c>
      <c r="C10" s="165">
        <f t="shared" si="1"/>
        <v>1988</v>
      </c>
      <c r="D10" s="165">
        <f t="shared" si="1"/>
        <v>1674</v>
      </c>
      <c r="E10" s="165">
        <f t="shared" si="1"/>
        <v>852</v>
      </c>
      <c r="F10" s="165">
        <f t="shared" si="1"/>
        <v>0</v>
      </c>
      <c r="G10" s="165">
        <f t="shared" si="1"/>
        <v>0</v>
      </c>
      <c r="H10" s="165">
        <f t="shared" si="1"/>
        <v>1350</v>
      </c>
      <c r="I10" s="29">
        <f t="shared" si="1"/>
        <v>2312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104</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114</v>
      </c>
      <c r="B12" s="168">
        <v>257</v>
      </c>
      <c r="C12" s="169">
        <v>257</v>
      </c>
      <c r="D12" s="169">
        <v>155</v>
      </c>
      <c r="E12" s="170">
        <v>350</v>
      </c>
      <c r="F12" s="170">
        <v>0</v>
      </c>
      <c r="G12" s="170">
        <v>0</v>
      </c>
      <c r="H12" s="171">
        <v>396</v>
      </c>
      <c r="I12" s="38">
        <f aca="true" t="shared" si="2" ref="I12:I24">B12+D12-H12</f>
        <v>16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42</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105</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57</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106</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103</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111</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112</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168</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107</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108</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109</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110</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15</v>
      </c>
      <c r="B25" s="167">
        <f>SUM(B26:B39)</f>
        <v>9883</v>
      </c>
      <c r="C25" s="165">
        <f aca="true" t="shared" si="6" ref="C25:V25">SUM(C26:C39)</f>
        <v>9883</v>
      </c>
      <c r="D25" s="165">
        <f t="shared" si="6"/>
        <v>12214</v>
      </c>
      <c r="E25" s="165">
        <f t="shared" si="6"/>
        <v>2110</v>
      </c>
      <c r="F25" s="165">
        <f t="shared" si="6"/>
        <v>325</v>
      </c>
      <c r="G25" s="165">
        <f t="shared" si="6"/>
        <v>1075</v>
      </c>
      <c r="H25" s="165">
        <f t="shared" si="6"/>
        <v>11085</v>
      </c>
      <c r="I25" s="29">
        <f t="shared" si="6"/>
        <v>11012</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65</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1</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143</v>
      </c>
      <c r="B28" s="326">
        <v>1101</v>
      </c>
      <c r="C28" s="327">
        <v>1101</v>
      </c>
      <c r="D28" s="327">
        <v>1904</v>
      </c>
      <c r="E28" s="328">
        <v>1030</v>
      </c>
      <c r="F28" s="328">
        <v>0</v>
      </c>
      <c r="G28" s="328">
        <v>0</v>
      </c>
      <c r="H28" s="329">
        <v>1917</v>
      </c>
      <c r="I28" s="330">
        <f t="shared" si="7"/>
        <v>1088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2</v>
      </c>
      <c r="B29" s="331">
        <v>745</v>
      </c>
      <c r="C29" s="332">
        <v>745</v>
      </c>
      <c r="D29" s="332">
        <v>735</v>
      </c>
      <c r="E29" s="333">
        <v>110</v>
      </c>
      <c r="F29" s="333">
        <v>0</v>
      </c>
      <c r="G29" s="333">
        <v>100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96</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98</v>
      </c>
      <c r="B31" s="326">
        <v>172</v>
      </c>
      <c r="C31" s="327">
        <v>172</v>
      </c>
      <c r="D31" s="327">
        <v>724</v>
      </c>
      <c r="E31" s="328">
        <v>430</v>
      </c>
      <c r="F31" s="328">
        <v>0</v>
      </c>
      <c r="G31" s="328">
        <v>63</v>
      </c>
      <c r="H31" s="329">
        <v>838</v>
      </c>
      <c r="I31" s="330">
        <f t="shared" si="7"/>
        <v>58</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3</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4</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99</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5</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82</v>
      </c>
      <c r="B36" s="347">
        <v>113</v>
      </c>
      <c r="C36" s="348">
        <v>113</v>
      </c>
      <c r="D36" s="349">
        <v>928</v>
      </c>
      <c r="E36" s="349">
        <v>0</v>
      </c>
      <c r="F36" s="349">
        <v>105</v>
      </c>
      <c r="G36" s="349">
        <v>120</v>
      </c>
      <c r="H36" s="349">
        <v>1041</v>
      </c>
      <c r="I36" s="351">
        <f t="shared" si="7"/>
        <v>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100</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31</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32</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17</v>
      </c>
      <c r="B40" s="167">
        <f aca="true" t="shared" si="11" ref="B40:V40">SUM(B41+B42+B43+B44+B45+B46+B53+B54+B55+B56+B57+B58+B59+B60+B61+B62+B63)</f>
        <v>8223</v>
      </c>
      <c r="C40" s="165">
        <f t="shared" si="11"/>
        <v>8149</v>
      </c>
      <c r="D40" s="165">
        <f t="shared" si="11"/>
        <v>23799</v>
      </c>
      <c r="E40" s="165">
        <f t="shared" si="11"/>
        <v>8496</v>
      </c>
      <c r="F40" s="165">
        <f t="shared" si="11"/>
        <v>3185</v>
      </c>
      <c r="G40" s="165">
        <f t="shared" si="11"/>
        <v>4272</v>
      </c>
      <c r="H40" s="192">
        <f t="shared" si="11"/>
        <v>26116</v>
      </c>
      <c r="I40" s="29">
        <f t="shared" si="11"/>
        <v>5906</v>
      </c>
      <c r="J40" s="167">
        <f t="shared" si="11"/>
        <v>7509</v>
      </c>
      <c r="K40" s="165">
        <f t="shared" si="11"/>
        <v>6119</v>
      </c>
      <c r="L40" s="165">
        <f t="shared" si="11"/>
        <v>2701</v>
      </c>
      <c r="M40" s="165">
        <f t="shared" si="11"/>
        <v>7452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115</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33.75">
      <c r="A42" s="57" t="s">
        <v>116</v>
      </c>
      <c r="B42" s="196">
        <v>41</v>
      </c>
      <c r="C42" s="197">
        <v>41</v>
      </c>
      <c r="D42" s="197">
        <v>1493</v>
      </c>
      <c r="E42" s="198">
        <v>800</v>
      </c>
      <c r="F42" s="198">
        <v>0</v>
      </c>
      <c r="G42" s="198">
        <v>200</v>
      </c>
      <c r="H42" s="199">
        <v>1527</v>
      </c>
      <c r="I42" s="47">
        <f>B42+D42-H42</f>
        <v>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117</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118</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119</v>
      </c>
      <c r="B45" s="196">
        <v>32</v>
      </c>
      <c r="C45" s="197">
        <v>32</v>
      </c>
      <c r="D45" s="197">
        <v>1941</v>
      </c>
      <c r="E45" s="198">
        <v>1304</v>
      </c>
      <c r="F45" s="198">
        <v>0</v>
      </c>
      <c r="G45" s="198">
        <v>484</v>
      </c>
      <c r="H45" s="199">
        <v>1973</v>
      </c>
      <c r="I45" s="47">
        <f t="shared" si="12"/>
        <v>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120</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61" t="s">
        <v>144</v>
      </c>
      <c r="B48" s="461"/>
      <c r="C48" s="461"/>
      <c r="D48" s="461"/>
      <c r="E48" s="461"/>
      <c r="F48" s="461"/>
      <c r="G48" s="461"/>
      <c r="H48" s="461"/>
      <c r="I48" s="461"/>
      <c r="J48" s="461"/>
      <c r="K48" s="461"/>
      <c r="L48" s="461"/>
      <c r="M48" s="461"/>
      <c r="N48" s="461"/>
      <c r="O48" s="461"/>
      <c r="P48" s="461"/>
      <c r="Q48" s="461"/>
      <c r="R48" s="461"/>
      <c r="S48" s="461"/>
      <c r="T48" s="461"/>
      <c r="U48" s="461"/>
      <c r="V48" s="461"/>
      <c r="W48" s="16"/>
    </row>
    <row r="49" spans="1:22" ht="12.75">
      <c r="A49" s="3"/>
      <c r="B49" s="4" t="s">
        <v>9</v>
      </c>
      <c r="C49" s="5"/>
      <c r="D49" s="5"/>
      <c r="E49" s="5"/>
      <c r="F49" s="5"/>
      <c r="G49" s="5"/>
      <c r="H49" s="5"/>
      <c r="I49" s="6"/>
      <c r="J49" s="4" t="s">
        <v>10</v>
      </c>
      <c r="K49" s="5"/>
      <c r="L49" s="7"/>
      <c r="M49" s="5"/>
      <c r="N49" s="6"/>
      <c r="O49" s="542" t="s">
        <v>11</v>
      </c>
      <c r="P49" s="543"/>
      <c r="Q49" s="543"/>
      <c r="R49" s="544"/>
      <c r="S49" s="542" t="s">
        <v>12</v>
      </c>
      <c r="T49" s="545"/>
      <c r="U49" s="545"/>
      <c r="V49" s="546"/>
    </row>
    <row r="50" spans="1:23" s="13" customFormat="1" ht="14.25" customHeight="1">
      <c r="A50" s="9" t="s">
        <v>0</v>
      </c>
      <c r="B50" s="525" t="s">
        <v>146</v>
      </c>
      <c r="C50" s="537" t="s">
        <v>147</v>
      </c>
      <c r="D50" s="522" t="s">
        <v>78</v>
      </c>
      <c r="E50" s="10" t="s">
        <v>13</v>
      </c>
      <c r="F50" s="10"/>
      <c r="G50" s="10"/>
      <c r="H50" s="11"/>
      <c r="I50" s="528" t="s">
        <v>148</v>
      </c>
      <c r="J50" s="525" t="s">
        <v>146</v>
      </c>
      <c r="K50" s="537" t="s">
        <v>147</v>
      </c>
      <c r="L50" s="522" t="s">
        <v>80</v>
      </c>
      <c r="M50" s="534" t="s">
        <v>81</v>
      </c>
      <c r="N50" s="528" t="s">
        <v>148</v>
      </c>
      <c r="O50" s="525" t="s">
        <v>149</v>
      </c>
      <c r="P50" s="531" t="s">
        <v>150</v>
      </c>
      <c r="Q50" s="534" t="s">
        <v>81</v>
      </c>
      <c r="R50" s="528" t="s">
        <v>148</v>
      </c>
      <c r="S50" s="525" t="s">
        <v>149</v>
      </c>
      <c r="T50" s="531" t="s">
        <v>150</v>
      </c>
      <c r="U50" s="534" t="s">
        <v>81</v>
      </c>
      <c r="V50" s="528" t="s">
        <v>148</v>
      </c>
      <c r="W50" s="12" t="s">
        <v>16</v>
      </c>
    </row>
    <row r="51" spans="1:22" ht="12.75" customHeight="1">
      <c r="A51" s="14"/>
      <c r="B51" s="526"/>
      <c r="C51" s="538" t="s">
        <v>30</v>
      </c>
      <c r="D51" s="523"/>
      <c r="E51" s="540" t="s">
        <v>87</v>
      </c>
      <c r="F51" s="540" t="s">
        <v>59</v>
      </c>
      <c r="G51" s="540" t="s">
        <v>60</v>
      </c>
      <c r="H51" s="534" t="s">
        <v>79</v>
      </c>
      <c r="I51" s="529"/>
      <c r="J51" s="526"/>
      <c r="K51" s="538" t="s">
        <v>30</v>
      </c>
      <c r="L51" s="523"/>
      <c r="M51" s="535"/>
      <c r="N51" s="529"/>
      <c r="O51" s="526"/>
      <c r="P51" s="532"/>
      <c r="Q51" s="535"/>
      <c r="R51" s="529"/>
      <c r="S51" s="526"/>
      <c r="T51" s="532"/>
      <c r="U51" s="535"/>
      <c r="V51" s="529"/>
    </row>
    <row r="52" spans="1:22" ht="53.25" customHeight="1" thickBot="1">
      <c r="A52" s="15" t="s">
        <v>16</v>
      </c>
      <c r="B52" s="527"/>
      <c r="C52" s="539" t="s">
        <v>58</v>
      </c>
      <c r="D52" s="524"/>
      <c r="E52" s="541"/>
      <c r="F52" s="541"/>
      <c r="G52" s="541"/>
      <c r="H52" s="536"/>
      <c r="I52" s="530"/>
      <c r="J52" s="527"/>
      <c r="K52" s="539" t="s">
        <v>58</v>
      </c>
      <c r="L52" s="524"/>
      <c r="M52" s="536"/>
      <c r="N52" s="530"/>
      <c r="O52" s="527"/>
      <c r="P52" s="533"/>
      <c r="Q52" s="536"/>
      <c r="R52" s="530"/>
      <c r="S52" s="527"/>
      <c r="T52" s="533"/>
      <c r="U52" s="536"/>
      <c r="V52" s="530"/>
    </row>
    <row r="53" spans="1:22" s="40" customFormat="1" ht="24" customHeight="1">
      <c r="A53" s="31" t="s">
        <v>121</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53</v>
      </c>
      <c r="B54" s="168">
        <v>90</v>
      </c>
      <c r="C54" s="169">
        <v>90</v>
      </c>
      <c r="D54" s="169">
        <v>682</v>
      </c>
      <c r="E54" s="170">
        <v>0</v>
      </c>
      <c r="F54" s="170">
        <v>0</v>
      </c>
      <c r="G54" s="170">
        <v>343</v>
      </c>
      <c r="H54" s="171">
        <v>772</v>
      </c>
      <c r="I54" s="38">
        <f t="shared" si="16"/>
        <v>0</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83</v>
      </c>
      <c r="B55" s="168">
        <v>1489</v>
      </c>
      <c r="C55" s="212">
        <v>1489</v>
      </c>
      <c r="D55" s="212">
        <v>3167</v>
      </c>
      <c r="E55" s="213">
        <v>2530</v>
      </c>
      <c r="F55" s="213">
        <v>0</v>
      </c>
      <c r="G55" s="213">
        <v>0</v>
      </c>
      <c r="H55" s="214">
        <v>4082</v>
      </c>
      <c r="I55" s="34">
        <f t="shared" si="16"/>
        <v>574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127</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67</v>
      </c>
      <c r="B57" s="168">
        <v>360</v>
      </c>
      <c r="C57" s="212">
        <v>360</v>
      </c>
      <c r="D57" s="212">
        <v>2536</v>
      </c>
      <c r="E57" s="213">
        <v>300</v>
      </c>
      <c r="F57" s="213">
        <v>1505</v>
      </c>
      <c r="G57" s="213">
        <v>0</v>
      </c>
      <c r="H57" s="214">
        <v>2659</v>
      </c>
      <c r="I57" s="34">
        <f t="shared" si="16"/>
        <v>237</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122</v>
      </c>
      <c r="B58" s="168">
        <v>952</v>
      </c>
      <c r="C58" s="212">
        <v>952</v>
      </c>
      <c r="D58" s="212">
        <v>4417</v>
      </c>
      <c r="E58" s="213">
        <v>363</v>
      </c>
      <c r="F58" s="213">
        <v>260</v>
      </c>
      <c r="G58" s="213">
        <v>2300</v>
      </c>
      <c r="H58" s="214">
        <v>5347</v>
      </c>
      <c r="I58" s="34">
        <f t="shared" si="16"/>
        <v>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123</v>
      </c>
      <c r="B59" s="168">
        <v>321</v>
      </c>
      <c r="C59" s="212">
        <v>321</v>
      </c>
      <c r="D59" s="212">
        <v>1157</v>
      </c>
      <c r="E59" s="213">
        <v>620</v>
      </c>
      <c r="F59" s="213">
        <v>0</v>
      </c>
      <c r="G59" s="213">
        <v>0</v>
      </c>
      <c r="H59" s="214">
        <v>1228</v>
      </c>
      <c r="I59" s="34">
        <f t="shared" si="16"/>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124</v>
      </c>
      <c r="B60" s="168">
        <v>1110</v>
      </c>
      <c r="C60" s="212">
        <v>1110</v>
      </c>
      <c r="D60" s="212">
        <v>877</v>
      </c>
      <c r="E60" s="213">
        <v>835</v>
      </c>
      <c r="F60" s="213">
        <v>0</v>
      </c>
      <c r="G60" s="213">
        <v>700</v>
      </c>
      <c r="H60" s="215">
        <v>1987</v>
      </c>
      <c r="I60" s="34">
        <f t="shared" si="16"/>
        <v>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128</v>
      </c>
      <c r="B61" s="168">
        <v>1267</v>
      </c>
      <c r="C61" s="212">
        <v>1267</v>
      </c>
      <c r="D61" s="212">
        <v>1750</v>
      </c>
      <c r="E61" s="213">
        <v>420</v>
      </c>
      <c r="F61" s="213">
        <v>300</v>
      </c>
      <c r="G61" s="213">
        <v>200</v>
      </c>
      <c r="H61" s="214">
        <v>1400</v>
      </c>
      <c r="I61" s="34">
        <f t="shared" si="16"/>
        <v>1617</v>
      </c>
      <c r="J61" s="168">
        <v>1</v>
      </c>
      <c r="K61" s="169">
        <v>1</v>
      </c>
      <c r="L61" s="169">
        <f>161+50</f>
        <v>211</v>
      </c>
      <c r="M61" s="170">
        <f>161+51</f>
        <v>212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125</v>
      </c>
      <c r="B62" s="168">
        <v>333</v>
      </c>
      <c r="C62" s="212">
        <v>333</v>
      </c>
      <c r="D62" s="212">
        <v>1454</v>
      </c>
      <c r="E62" s="213">
        <v>650</v>
      </c>
      <c r="F62" s="213">
        <v>0</v>
      </c>
      <c r="G62" s="213">
        <v>0</v>
      </c>
      <c r="H62" s="214">
        <v>1174</v>
      </c>
      <c r="I62" s="34">
        <f t="shared" si="16"/>
        <v>613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126</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18</v>
      </c>
      <c r="B64" s="167">
        <f>SUM(B65:B80)</f>
        <v>13290</v>
      </c>
      <c r="C64" s="167">
        <f>SUM(C65:C80)</f>
        <v>13343</v>
      </c>
      <c r="D64" s="165">
        <f aca="true" t="shared" si="20" ref="D64:V64">SUM(D65:D80)</f>
        <v>27926</v>
      </c>
      <c r="E64" s="165">
        <f t="shared" si="20"/>
        <v>11291</v>
      </c>
      <c r="F64" s="165">
        <f t="shared" si="20"/>
        <v>3366</v>
      </c>
      <c r="G64" s="165">
        <f t="shared" si="20"/>
        <v>2442</v>
      </c>
      <c r="H64" s="165">
        <f t="shared" si="20"/>
        <v>28564</v>
      </c>
      <c r="I64" s="29">
        <f t="shared" si="20"/>
        <v>12652</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69</v>
      </c>
      <c r="B65" s="175">
        <v>343</v>
      </c>
      <c r="C65" s="176">
        <v>343</v>
      </c>
      <c r="D65" s="176">
        <v>894</v>
      </c>
      <c r="E65" s="177">
        <v>660</v>
      </c>
      <c r="F65" s="177">
        <v>0</v>
      </c>
      <c r="G65" s="177">
        <v>100</v>
      </c>
      <c r="H65" s="178">
        <f>351+E65+F65+G65</f>
        <v>1111</v>
      </c>
      <c r="I65" s="70">
        <f aca="true" t="shared" si="21" ref="I65:I80">B65+D65-H65</f>
        <v>126</v>
      </c>
      <c r="J65" s="175">
        <f>39+85</f>
        <v>124</v>
      </c>
      <c r="K65" s="176">
        <f>39+85</f>
        <v>124</v>
      </c>
      <c r="L65" s="176">
        <v>32</v>
      </c>
      <c r="M65" s="177">
        <v>0</v>
      </c>
      <c r="N65" s="178">
        <f aca="true" t="shared" si="22" ref="N65:N80">J65+L65-M65</f>
        <v>156</v>
      </c>
      <c r="O65" s="175">
        <f>553+125</f>
        <v>678</v>
      </c>
      <c r="P65" s="176">
        <f>462+125</f>
        <v>587</v>
      </c>
      <c r="Q65" s="177">
        <v>520</v>
      </c>
      <c r="R65" s="70">
        <f aca="true" t="shared" si="23" ref="R65:R80">O65-Q65</f>
        <v>158</v>
      </c>
      <c r="S65" s="175">
        <f>8+120</f>
        <v>128</v>
      </c>
      <c r="T65" s="177">
        <f>8+120</f>
        <v>128</v>
      </c>
      <c r="U65" s="177">
        <v>0</v>
      </c>
      <c r="V65" s="70">
        <f aca="true" t="shared" si="24" ref="V65:V80">S65-U65</f>
        <v>128</v>
      </c>
      <c r="Y65" s="219" t="s">
        <v>16</v>
      </c>
    </row>
    <row r="66" spans="1:22" s="40" customFormat="1" ht="12.75">
      <c r="A66" s="141" t="s">
        <v>84</v>
      </c>
      <c r="B66" s="168">
        <v>40</v>
      </c>
      <c r="C66" s="169">
        <v>93</v>
      </c>
      <c r="D66" s="169">
        <v>2075</v>
      </c>
      <c r="E66" s="170">
        <v>590</v>
      </c>
      <c r="F66" s="170">
        <v>0</v>
      </c>
      <c r="G66" s="170">
        <v>550</v>
      </c>
      <c r="H66" s="171">
        <f>969+E66+F66+G66</f>
        <v>2109</v>
      </c>
      <c r="I66" s="38">
        <f t="shared" si="21"/>
        <v>6</v>
      </c>
      <c r="J66" s="168">
        <f>777+19</f>
        <v>796</v>
      </c>
      <c r="K66" s="169">
        <f>777+19</f>
        <v>796</v>
      </c>
      <c r="L66" s="169">
        <v>151</v>
      </c>
      <c r="M66" s="170">
        <f>500+19</f>
        <v>519</v>
      </c>
      <c r="N66" s="171">
        <f t="shared" si="22"/>
        <v>428</v>
      </c>
      <c r="O66" s="168">
        <f>89+225</f>
        <v>314</v>
      </c>
      <c r="P66" s="169">
        <f>225+51</f>
        <v>276</v>
      </c>
      <c r="Q66" s="170">
        <v>256</v>
      </c>
      <c r="R66" s="38">
        <f t="shared" si="23"/>
        <v>58</v>
      </c>
      <c r="S66" s="168">
        <f>594+150</f>
        <v>744</v>
      </c>
      <c r="T66" s="170">
        <f>150+594</f>
        <v>744</v>
      </c>
      <c r="U66" s="170">
        <v>400</v>
      </c>
      <c r="V66" s="38">
        <f t="shared" si="24"/>
        <v>344</v>
      </c>
    </row>
    <row r="67" spans="1:22" s="40" customFormat="1" ht="22.5">
      <c r="A67" s="31" t="s">
        <v>132</v>
      </c>
      <c r="B67" s="168">
        <v>1092</v>
      </c>
      <c r="C67" s="169">
        <v>1092</v>
      </c>
      <c r="D67" s="169">
        <v>2260</v>
      </c>
      <c r="E67" s="170">
        <v>480</v>
      </c>
      <c r="F67" s="170">
        <v>820</v>
      </c>
      <c r="G67" s="170">
        <v>250</v>
      </c>
      <c r="H67" s="171">
        <f>960+E67+F67+G67</f>
        <v>2510</v>
      </c>
      <c r="I67" s="38">
        <f t="shared" si="21"/>
        <v>842</v>
      </c>
      <c r="J67" s="168">
        <f>328+329</f>
        <v>657</v>
      </c>
      <c r="K67" s="169">
        <f>328+329</f>
        <v>657</v>
      </c>
      <c r="L67" s="169">
        <f>24+50</f>
        <v>74</v>
      </c>
      <c r="M67" s="170">
        <v>50</v>
      </c>
      <c r="N67" s="171">
        <f t="shared" si="22"/>
        <v>681</v>
      </c>
      <c r="O67" s="168">
        <f>162+260</f>
        <v>422</v>
      </c>
      <c r="P67" s="169">
        <f>260+50</f>
        <v>310</v>
      </c>
      <c r="Q67" s="170">
        <v>300</v>
      </c>
      <c r="R67" s="38">
        <f t="shared" si="23"/>
        <v>122</v>
      </c>
      <c r="S67" s="168">
        <f>199+10</f>
        <v>209</v>
      </c>
      <c r="T67" s="169">
        <f>10+199</f>
        <v>209</v>
      </c>
      <c r="U67" s="170">
        <v>0</v>
      </c>
      <c r="V67" s="38">
        <f t="shared" si="24"/>
        <v>209</v>
      </c>
    </row>
    <row r="68" spans="1:22" s="40" customFormat="1" ht="12.75">
      <c r="A68" s="141" t="s">
        <v>34</v>
      </c>
      <c r="B68" s="168">
        <v>813</v>
      </c>
      <c r="C68" s="169">
        <v>813</v>
      </c>
      <c r="D68" s="169">
        <v>1453</v>
      </c>
      <c r="E68" s="170">
        <v>510</v>
      </c>
      <c r="F68" s="170">
        <v>0</v>
      </c>
      <c r="G68" s="170">
        <v>0</v>
      </c>
      <c r="H68" s="171">
        <f>753+E68</f>
        <v>1263</v>
      </c>
      <c r="I68" s="38">
        <f t="shared" si="21"/>
        <v>1003</v>
      </c>
      <c r="J68" s="168">
        <v>1047</v>
      </c>
      <c r="K68" s="169">
        <v>1047</v>
      </c>
      <c r="L68" s="169">
        <v>309</v>
      </c>
      <c r="M68" s="170">
        <v>0</v>
      </c>
      <c r="N68" s="171">
        <f t="shared" si="22"/>
        <v>1356</v>
      </c>
      <c r="O68" s="168">
        <f>521+290</f>
        <v>811</v>
      </c>
      <c r="P68" s="169">
        <f>290+471</f>
        <v>761</v>
      </c>
      <c r="Q68" s="170">
        <v>710</v>
      </c>
      <c r="R68" s="38">
        <f t="shared" si="23"/>
        <v>101</v>
      </c>
      <c r="S68" s="168">
        <f>1116+100</f>
        <v>1216</v>
      </c>
      <c r="T68" s="170">
        <f>100+1116</f>
        <v>1216</v>
      </c>
      <c r="U68" s="170">
        <v>0</v>
      </c>
      <c r="V68" s="38">
        <f t="shared" si="24"/>
        <v>1216</v>
      </c>
    </row>
    <row r="69" spans="1:22" s="40" customFormat="1" ht="12.75">
      <c r="A69" s="220" t="s">
        <v>88</v>
      </c>
      <c r="B69" s="221">
        <v>410</v>
      </c>
      <c r="C69" s="222">
        <v>410</v>
      </c>
      <c r="D69" s="222">
        <v>672</v>
      </c>
      <c r="E69" s="223">
        <v>500</v>
      </c>
      <c r="F69" s="223">
        <v>0</v>
      </c>
      <c r="G69" s="223">
        <v>0</v>
      </c>
      <c r="H69" s="224">
        <f>394+E69+F69+G69</f>
        <v>894</v>
      </c>
      <c r="I69" s="90">
        <f t="shared" si="21"/>
        <v>188</v>
      </c>
      <c r="J69" s="168">
        <f>32+115</f>
        <v>147</v>
      </c>
      <c r="K69" s="222">
        <f>54+115</f>
        <v>169</v>
      </c>
      <c r="L69" s="169">
        <v>22</v>
      </c>
      <c r="M69" s="170">
        <v>0</v>
      </c>
      <c r="N69" s="171">
        <f t="shared" si="22"/>
        <v>169</v>
      </c>
      <c r="O69" s="168">
        <f>461+150</f>
        <v>611</v>
      </c>
      <c r="P69" s="222">
        <f>150+461</f>
        <v>611</v>
      </c>
      <c r="Q69" s="170">
        <v>140</v>
      </c>
      <c r="R69" s="38">
        <f t="shared" si="23"/>
        <v>471</v>
      </c>
      <c r="S69" s="168">
        <f>61</f>
        <v>61</v>
      </c>
      <c r="T69" s="223">
        <v>61</v>
      </c>
      <c r="U69" s="170">
        <v>0</v>
      </c>
      <c r="V69" s="38">
        <f t="shared" si="24"/>
        <v>61</v>
      </c>
    </row>
    <row r="70" spans="1:22" s="40" customFormat="1" ht="12.75">
      <c r="A70" s="141" t="s">
        <v>89</v>
      </c>
      <c r="B70" s="168">
        <v>1944</v>
      </c>
      <c r="C70" s="169">
        <v>1944</v>
      </c>
      <c r="D70" s="169">
        <v>2333</v>
      </c>
      <c r="E70" s="170">
        <v>0</v>
      </c>
      <c r="F70" s="170">
        <v>0</v>
      </c>
      <c r="G70" s="170">
        <v>0</v>
      </c>
      <c r="H70" s="171">
        <v>1844</v>
      </c>
      <c r="I70" s="38">
        <f t="shared" si="21"/>
        <v>2433</v>
      </c>
      <c r="J70" s="168">
        <f>508+4860</f>
        <v>5368</v>
      </c>
      <c r="K70" s="169">
        <f>508+4860</f>
        <v>5368</v>
      </c>
      <c r="L70" s="169">
        <v>500</v>
      </c>
      <c r="M70" s="223">
        <f>500+4860</f>
        <v>5360</v>
      </c>
      <c r="N70" s="171">
        <f t="shared" si="22"/>
        <v>508</v>
      </c>
      <c r="O70" s="168">
        <f>1007+390</f>
        <v>1397</v>
      </c>
      <c r="P70" s="169">
        <f>390+968</f>
        <v>1358</v>
      </c>
      <c r="Q70" s="170">
        <v>900</v>
      </c>
      <c r="R70" s="38">
        <f t="shared" si="23"/>
        <v>497</v>
      </c>
      <c r="S70" s="168">
        <f>631+43</f>
        <v>674</v>
      </c>
      <c r="T70" s="170">
        <f>631+43</f>
        <v>674</v>
      </c>
      <c r="U70" s="170">
        <v>0</v>
      </c>
      <c r="V70" s="38">
        <f t="shared" si="24"/>
        <v>674</v>
      </c>
    </row>
    <row r="71" spans="1:22" s="40" customFormat="1" ht="12.75">
      <c r="A71" s="141" t="s">
        <v>35</v>
      </c>
      <c r="B71" s="168">
        <v>267</v>
      </c>
      <c r="C71" s="169">
        <v>267</v>
      </c>
      <c r="D71" s="169">
        <v>1065</v>
      </c>
      <c r="E71" s="170">
        <v>0</v>
      </c>
      <c r="F71" s="170">
        <v>846</v>
      </c>
      <c r="G71" s="170">
        <v>0</v>
      </c>
      <c r="H71" s="171">
        <f>336+F71</f>
        <v>1182</v>
      </c>
      <c r="I71" s="38">
        <f t="shared" si="21"/>
        <v>150</v>
      </c>
      <c r="J71" s="168">
        <f>33+26</f>
        <v>59</v>
      </c>
      <c r="K71" s="169">
        <f>33+26</f>
        <v>59</v>
      </c>
      <c r="L71" s="169">
        <f>46+10</f>
        <v>56</v>
      </c>
      <c r="M71" s="170">
        <v>0</v>
      </c>
      <c r="N71" s="171">
        <f t="shared" si="22"/>
        <v>115</v>
      </c>
      <c r="O71" s="168">
        <f>716+220</f>
        <v>936</v>
      </c>
      <c r="P71" s="169">
        <f>220+716</f>
        <v>936</v>
      </c>
      <c r="Q71" s="170">
        <v>400</v>
      </c>
      <c r="R71" s="38">
        <f t="shared" si="23"/>
        <v>536</v>
      </c>
      <c r="S71" s="168">
        <f>306+33</f>
        <v>339</v>
      </c>
      <c r="T71" s="170">
        <f>33+306</f>
        <v>339</v>
      </c>
      <c r="U71" s="170">
        <v>0</v>
      </c>
      <c r="V71" s="38">
        <f t="shared" si="24"/>
        <v>339</v>
      </c>
    </row>
    <row r="72" spans="1:22" s="40" customFormat="1" ht="12.75">
      <c r="A72" s="141" t="s">
        <v>36</v>
      </c>
      <c r="B72" s="168">
        <v>190</v>
      </c>
      <c r="C72" s="169">
        <v>190</v>
      </c>
      <c r="D72" s="169">
        <v>1486</v>
      </c>
      <c r="E72" s="170">
        <v>800</v>
      </c>
      <c r="F72" s="170">
        <v>0</v>
      </c>
      <c r="G72" s="170">
        <v>0</v>
      </c>
      <c r="H72" s="171">
        <f>773+E72+F72+G72</f>
        <v>1573</v>
      </c>
      <c r="I72" s="38">
        <f t="shared" si="21"/>
        <v>103</v>
      </c>
      <c r="J72" s="168">
        <f>49+254</f>
        <v>303</v>
      </c>
      <c r="K72" s="169">
        <f>49+254</f>
        <v>303</v>
      </c>
      <c r="L72" s="169">
        <f>296+10</f>
        <v>306</v>
      </c>
      <c r="M72" s="170">
        <f>50+260</f>
        <v>310</v>
      </c>
      <c r="N72" s="171">
        <f t="shared" si="22"/>
        <v>299</v>
      </c>
      <c r="O72" s="168">
        <f>46+250</f>
        <v>296</v>
      </c>
      <c r="P72" s="169">
        <f>56+250</f>
        <v>306</v>
      </c>
      <c r="Q72" s="170">
        <v>274</v>
      </c>
      <c r="R72" s="38">
        <f t="shared" si="23"/>
        <v>22</v>
      </c>
      <c r="S72" s="168">
        <f>161</f>
        <v>161</v>
      </c>
      <c r="T72" s="170">
        <v>161</v>
      </c>
      <c r="U72" s="170">
        <v>50</v>
      </c>
      <c r="V72" s="38">
        <f t="shared" si="24"/>
        <v>111</v>
      </c>
    </row>
    <row r="73" spans="1:22" s="40" customFormat="1" ht="12.75">
      <c r="A73" s="141" t="s">
        <v>37</v>
      </c>
      <c r="B73" s="168">
        <v>1273</v>
      </c>
      <c r="C73" s="169">
        <v>1273</v>
      </c>
      <c r="D73" s="169">
        <v>2960</v>
      </c>
      <c r="E73" s="170">
        <v>600</v>
      </c>
      <c r="F73" s="170">
        <v>1700</v>
      </c>
      <c r="G73" s="170">
        <v>0</v>
      </c>
      <c r="H73" s="171">
        <f>984+E73+F73+G73</f>
        <v>3284</v>
      </c>
      <c r="I73" s="38">
        <f t="shared" si="21"/>
        <v>949</v>
      </c>
      <c r="J73" s="168">
        <f>664+29</f>
        <v>693</v>
      </c>
      <c r="K73" s="169">
        <f>664+29</f>
        <v>693</v>
      </c>
      <c r="L73" s="169">
        <f>255+5</f>
        <v>260</v>
      </c>
      <c r="M73" s="170">
        <f>150+5</f>
        <v>155</v>
      </c>
      <c r="N73" s="171">
        <f t="shared" si="22"/>
        <v>798</v>
      </c>
      <c r="O73" s="168">
        <f>562+230</f>
        <v>792</v>
      </c>
      <c r="P73" s="169">
        <f>230+554</f>
        <v>784</v>
      </c>
      <c r="Q73" s="170">
        <v>370</v>
      </c>
      <c r="R73" s="38">
        <f t="shared" si="23"/>
        <v>422</v>
      </c>
      <c r="S73" s="168">
        <f>233+100</f>
        <v>333</v>
      </c>
      <c r="T73" s="170">
        <f>100+233</f>
        <v>333</v>
      </c>
      <c r="U73" s="170">
        <v>100</v>
      </c>
      <c r="V73" s="38">
        <f t="shared" si="24"/>
        <v>233</v>
      </c>
    </row>
    <row r="74" spans="1:22" s="40" customFormat="1" ht="12.75">
      <c r="A74" s="141" t="s">
        <v>90</v>
      </c>
      <c r="B74" s="168">
        <v>1257</v>
      </c>
      <c r="C74" s="169">
        <v>1257</v>
      </c>
      <c r="D74" s="169">
        <v>1296</v>
      </c>
      <c r="E74" s="170">
        <v>0</v>
      </c>
      <c r="F74" s="170">
        <v>0</v>
      </c>
      <c r="G74" s="170">
        <v>600</v>
      </c>
      <c r="H74" s="171">
        <f>522+E74+F74+G74</f>
        <v>1122</v>
      </c>
      <c r="I74" s="38">
        <f t="shared" si="21"/>
        <v>1431</v>
      </c>
      <c r="J74" s="168">
        <f>2468</f>
        <v>2468</v>
      </c>
      <c r="K74" s="169">
        <v>2468</v>
      </c>
      <c r="L74" s="169">
        <v>196</v>
      </c>
      <c r="M74" s="170">
        <v>500</v>
      </c>
      <c r="N74" s="171">
        <f t="shared" si="22"/>
        <v>2164</v>
      </c>
      <c r="O74" s="168">
        <f>254+105</f>
        <v>359</v>
      </c>
      <c r="P74" s="169">
        <f>105+244</f>
        <v>349</v>
      </c>
      <c r="Q74" s="170">
        <v>215</v>
      </c>
      <c r="R74" s="38">
        <f t="shared" si="23"/>
        <v>144</v>
      </c>
      <c r="S74" s="168">
        <f>783+191</f>
        <v>974</v>
      </c>
      <c r="T74" s="170">
        <f>783+191</f>
        <v>974</v>
      </c>
      <c r="U74" s="170">
        <v>700</v>
      </c>
      <c r="V74" s="38">
        <f t="shared" si="24"/>
        <v>274</v>
      </c>
    </row>
    <row r="75" spans="1:22" s="92" customFormat="1" ht="12.75">
      <c r="A75" s="225" t="s">
        <v>38</v>
      </c>
      <c r="B75" s="226">
        <v>700</v>
      </c>
      <c r="C75" s="227">
        <v>700</v>
      </c>
      <c r="D75" s="227">
        <f>956</f>
        <v>956</v>
      </c>
      <c r="E75" s="228">
        <v>0</v>
      </c>
      <c r="F75" s="228">
        <v>0</v>
      </c>
      <c r="G75" s="228">
        <v>202</v>
      </c>
      <c r="H75" s="229">
        <f>526+E75+F75+G75</f>
        <v>728</v>
      </c>
      <c r="I75" s="230">
        <f t="shared" si="21"/>
        <v>928</v>
      </c>
      <c r="J75" s="231">
        <f>41+8</f>
        <v>49</v>
      </c>
      <c r="K75" s="194">
        <f>41+8</f>
        <v>49</v>
      </c>
      <c r="L75" s="194">
        <v>73</v>
      </c>
      <c r="M75" s="195">
        <v>100</v>
      </c>
      <c r="N75" s="232">
        <f t="shared" si="22"/>
        <v>22</v>
      </c>
      <c r="O75" s="231">
        <f>250+343</f>
        <v>593</v>
      </c>
      <c r="P75" s="194">
        <f>250+343</f>
        <v>593</v>
      </c>
      <c r="Q75" s="195">
        <v>400</v>
      </c>
      <c r="R75" s="233">
        <f t="shared" si="23"/>
        <v>193</v>
      </c>
      <c r="S75" s="231">
        <v>3</v>
      </c>
      <c r="T75" s="195">
        <v>3</v>
      </c>
      <c r="U75" s="195">
        <v>0</v>
      </c>
      <c r="V75" s="233">
        <f t="shared" si="24"/>
        <v>3</v>
      </c>
    </row>
    <row r="76" spans="1:23" s="40" customFormat="1" ht="12.75">
      <c r="A76" s="187" t="s">
        <v>91</v>
      </c>
      <c r="B76" s="188">
        <v>852</v>
      </c>
      <c r="C76" s="189">
        <v>852</v>
      </c>
      <c r="D76" s="189">
        <v>5074</v>
      </c>
      <c r="E76" s="190">
        <v>4011</v>
      </c>
      <c r="F76" s="190">
        <v>0</v>
      </c>
      <c r="G76" s="190">
        <v>0</v>
      </c>
      <c r="H76" s="191">
        <f>904+E76+F76+G76</f>
        <v>4915</v>
      </c>
      <c r="I76" s="71">
        <f t="shared" si="21"/>
        <v>1011</v>
      </c>
      <c r="J76" s="188">
        <v>568</v>
      </c>
      <c r="K76" s="189">
        <v>568</v>
      </c>
      <c r="L76" s="189">
        <v>116</v>
      </c>
      <c r="M76" s="190">
        <v>0</v>
      </c>
      <c r="N76" s="191">
        <f t="shared" si="22"/>
        <v>684</v>
      </c>
      <c r="O76" s="188">
        <f>220+174</f>
        <v>394</v>
      </c>
      <c r="P76" s="189">
        <f>220+174</f>
        <v>394</v>
      </c>
      <c r="Q76" s="190">
        <v>394</v>
      </c>
      <c r="R76" s="71">
        <f t="shared" si="23"/>
        <v>0</v>
      </c>
      <c r="S76" s="188">
        <f>29+193</f>
        <v>222</v>
      </c>
      <c r="T76" s="190">
        <f>29+193</f>
        <v>222</v>
      </c>
      <c r="U76" s="190">
        <v>19</v>
      </c>
      <c r="V76" s="71">
        <f t="shared" si="24"/>
        <v>203</v>
      </c>
      <c r="W76" s="174"/>
    </row>
    <row r="77" spans="1:22" s="40" customFormat="1" ht="12.75">
      <c r="A77" s="187" t="s">
        <v>39</v>
      </c>
      <c r="B77" s="188">
        <v>124</v>
      </c>
      <c r="C77" s="189">
        <v>124</v>
      </c>
      <c r="D77" s="234">
        <f>1335+159</f>
        <v>1494</v>
      </c>
      <c r="E77" s="190">
        <v>305</v>
      </c>
      <c r="F77" s="190">
        <v>0</v>
      </c>
      <c r="G77" s="190">
        <v>0</v>
      </c>
      <c r="H77" s="191">
        <f>625+E77+F77+G77</f>
        <v>930</v>
      </c>
      <c r="I77" s="71">
        <f t="shared" si="21"/>
        <v>688</v>
      </c>
      <c r="J77" s="188">
        <f>4+430</f>
        <v>434</v>
      </c>
      <c r="K77" s="189">
        <f>4+430</f>
        <v>434</v>
      </c>
      <c r="L77" s="189">
        <v>183</v>
      </c>
      <c r="M77" s="190">
        <f>150+430</f>
        <v>580</v>
      </c>
      <c r="N77" s="191">
        <f t="shared" si="22"/>
        <v>37</v>
      </c>
      <c r="O77" s="188">
        <f>75+195</f>
        <v>270</v>
      </c>
      <c r="P77" s="189">
        <f>195+75</f>
        <v>270</v>
      </c>
      <c r="Q77" s="190">
        <v>270</v>
      </c>
      <c r="R77" s="71">
        <f t="shared" si="23"/>
        <v>0</v>
      </c>
      <c r="S77" s="188">
        <v>5</v>
      </c>
      <c r="T77" s="190">
        <v>0</v>
      </c>
      <c r="U77" s="190">
        <v>0</v>
      </c>
      <c r="V77" s="71">
        <f t="shared" si="24"/>
        <v>5</v>
      </c>
    </row>
    <row r="78" spans="1:22" s="40" customFormat="1" ht="12.75">
      <c r="A78" s="187" t="s">
        <v>40</v>
      </c>
      <c r="B78" s="188">
        <v>2025</v>
      </c>
      <c r="C78" s="189">
        <v>2025</v>
      </c>
      <c r="D78" s="189">
        <v>1447</v>
      </c>
      <c r="E78" s="190">
        <v>760</v>
      </c>
      <c r="F78" s="190">
        <v>0</v>
      </c>
      <c r="G78" s="190">
        <v>0</v>
      </c>
      <c r="H78" s="191">
        <f>674+E78+F78+G78</f>
        <v>1434</v>
      </c>
      <c r="I78" s="71">
        <f t="shared" si="21"/>
        <v>2038</v>
      </c>
      <c r="J78" s="188">
        <v>0</v>
      </c>
      <c r="K78" s="189">
        <v>0</v>
      </c>
      <c r="L78" s="189">
        <v>71</v>
      </c>
      <c r="M78" s="190">
        <v>40</v>
      </c>
      <c r="N78" s="191">
        <f t="shared" si="22"/>
        <v>31</v>
      </c>
      <c r="O78" s="188">
        <f>180+667</f>
        <v>847</v>
      </c>
      <c r="P78" s="189">
        <f>180+505</f>
        <v>685</v>
      </c>
      <c r="Q78" s="190">
        <v>830</v>
      </c>
      <c r="R78" s="71">
        <f t="shared" si="23"/>
        <v>17</v>
      </c>
      <c r="S78" s="188">
        <v>256</v>
      </c>
      <c r="T78" s="190">
        <v>256</v>
      </c>
      <c r="U78" s="190">
        <v>0</v>
      </c>
      <c r="V78" s="71">
        <f t="shared" si="24"/>
        <v>256</v>
      </c>
    </row>
    <row r="79" spans="1:22" s="40" customFormat="1" ht="12.75">
      <c r="A79" s="187" t="s">
        <v>92</v>
      </c>
      <c r="B79" s="188">
        <v>1636</v>
      </c>
      <c r="C79" s="189">
        <v>1636</v>
      </c>
      <c r="D79" s="189">
        <v>1745</v>
      </c>
      <c r="E79" s="190">
        <v>1615</v>
      </c>
      <c r="F79" s="190">
        <v>0</v>
      </c>
      <c r="G79" s="190">
        <v>740</v>
      </c>
      <c r="H79" s="191">
        <f>434+E79+F79+G79</f>
        <v>2789</v>
      </c>
      <c r="I79" s="71">
        <f t="shared" si="21"/>
        <v>592</v>
      </c>
      <c r="J79" s="188">
        <v>639</v>
      </c>
      <c r="K79" s="189">
        <v>639</v>
      </c>
      <c r="L79" s="189">
        <v>112</v>
      </c>
      <c r="M79" s="190">
        <v>606</v>
      </c>
      <c r="N79" s="191">
        <f t="shared" si="22"/>
        <v>145</v>
      </c>
      <c r="O79" s="188">
        <f>190+444</f>
        <v>634</v>
      </c>
      <c r="P79" s="189">
        <f>190+425</f>
        <v>615</v>
      </c>
      <c r="Q79" s="190">
        <v>455</v>
      </c>
      <c r="R79" s="71">
        <f t="shared" si="23"/>
        <v>179</v>
      </c>
      <c r="S79" s="188">
        <v>399</v>
      </c>
      <c r="T79" s="190">
        <v>399</v>
      </c>
      <c r="U79" s="190">
        <v>350</v>
      </c>
      <c r="V79" s="71">
        <f t="shared" si="24"/>
        <v>49</v>
      </c>
    </row>
    <row r="80" spans="1:22" s="40" customFormat="1" ht="13.5" thickBot="1">
      <c r="A80" s="187" t="s">
        <v>93</v>
      </c>
      <c r="B80" s="188">
        <v>324</v>
      </c>
      <c r="C80" s="189">
        <v>324</v>
      </c>
      <c r="D80" s="189">
        <v>716</v>
      </c>
      <c r="E80" s="190">
        <v>460</v>
      </c>
      <c r="F80" s="190">
        <v>0</v>
      </c>
      <c r="G80" s="190">
        <v>0</v>
      </c>
      <c r="H80" s="191">
        <f>416+E80+F80+G80</f>
        <v>876</v>
      </c>
      <c r="I80" s="71">
        <f t="shared" si="21"/>
        <v>164</v>
      </c>
      <c r="J80" s="188">
        <v>212</v>
      </c>
      <c r="K80" s="189">
        <v>212</v>
      </c>
      <c r="L80" s="189">
        <v>415</v>
      </c>
      <c r="M80" s="190">
        <v>627</v>
      </c>
      <c r="N80" s="191">
        <f t="shared" si="22"/>
        <v>0</v>
      </c>
      <c r="O80" s="188">
        <f>110+234</f>
        <v>344</v>
      </c>
      <c r="P80" s="189">
        <f>110+170</f>
        <v>280</v>
      </c>
      <c r="Q80" s="190">
        <v>270</v>
      </c>
      <c r="R80" s="71">
        <f t="shared" si="23"/>
        <v>74</v>
      </c>
      <c r="S80" s="188">
        <v>3</v>
      </c>
      <c r="T80" s="190">
        <v>3</v>
      </c>
      <c r="U80" s="190">
        <v>0</v>
      </c>
      <c r="V80" s="71">
        <f t="shared" si="24"/>
        <v>3</v>
      </c>
    </row>
    <row r="81" spans="1:256" s="235" customFormat="1" ht="13.5" thickBot="1">
      <c r="A81" s="166" t="s">
        <v>41</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54</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19</v>
      </c>
      <c r="B83" s="242">
        <f>SUM(B84)</f>
        <v>9294</v>
      </c>
      <c r="C83" s="243">
        <f aca="true" t="shared" si="26" ref="C83:V83">SUM(C84)</f>
        <v>1000</v>
      </c>
      <c r="D83" s="243">
        <f t="shared" si="26"/>
        <v>4450</v>
      </c>
      <c r="E83" s="243">
        <f t="shared" si="26"/>
        <v>9180</v>
      </c>
      <c r="F83" s="243">
        <f t="shared" si="26"/>
        <v>1400</v>
      </c>
      <c r="G83" s="243">
        <f t="shared" si="26"/>
        <v>1100</v>
      </c>
      <c r="H83" s="243">
        <f t="shared" si="26"/>
        <v>11680</v>
      </c>
      <c r="I83" s="102">
        <f t="shared" si="26"/>
        <v>2064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71</v>
      </c>
      <c r="B84" s="355">
        <v>9294</v>
      </c>
      <c r="C84" s="342">
        <v>1000</v>
      </c>
      <c r="D84" s="342">
        <v>4450</v>
      </c>
      <c r="E84" s="343">
        <v>9180</v>
      </c>
      <c r="F84" s="343">
        <v>1400</v>
      </c>
      <c r="G84" s="343">
        <v>1100</v>
      </c>
      <c r="H84" s="345">
        <v>11680</v>
      </c>
      <c r="I84" s="344">
        <f>B84+D84-H84</f>
        <v>2064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20</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133</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21</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22</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23</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33</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61" t="s">
        <v>144</v>
      </c>
      <c r="B91" s="461"/>
      <c r="C91" s="461"/>
      <c r="D91" s="461"/>
      <c r="E91" s="461"/>
      <c r="F91" s="461"/>
      <c r="G91" s="461"/>
      <c r="H91" s="461"/>
      <c r="I91" s="461"/>
      <c r="J91" s="461"/>
      <c r="K91" s="461"/>
      <c r="L91" s="461"/>
      <c r="M91" s="461"/>
      <c r="N91" s="461"/>
      <c r="O91" s="461"/>
      <c r="P91" s="461"/>
      <c r="Q91" s="461"/>
      <c r="R91" s="461"/>
      <c r="S91" s="461"/>
      <c r="T91" s="461"/>
      <c r="U91" s="461"/>
      <c r="V91" s="461"/>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9</v>
      </c>
      <c r="C92" s="5"/>
      <c r="D92" s="5"/>
      <c r="E92" s="5"/>
      <c r="F92" s="5"/>
      <c r="G92" s="5"/>
      <c r="H92" s="5"/>
      <c r="I92" s="6"/>
      <c r="J92" s="4" t="s">
        <v>10</v>
      </c>
      <c r="K92" s="5"/>
      <c r="L92" s="7"/>
      <c r="M92" s="5"/>
      <c r="N92" s="6"/>
      <c r="O92" s="542" t="s">
        <v>11</v>
      </c>
      <c r="P92" s="543"/>
      <c r="Q92" s="543"/>
      <c r="R92" s="544"/>
      <c r="S92" s="542" t="s">
        <v>12</v>
      </c>
      <c r="T92" s="545"/>
      <c r="U92" s="545"/>
      <c r="V92" s="546"/>
    </row>
    <row r="93" spans="1:23" s="13" customFormat="1" ht="14.25" customHeight="1">
      <c r="A93" s="9" t="s">
        <v>0</v>
      </c>
      <c r="B93" s="525" t="s">
        <v>146</v>
      </c>
      <c r="C93" s="537" t="s">
        <v>147</v>
      </c>
      <c r="D93" s="522" t="s">
        <v>78</v>
      </c>
      <c r="E93" s="10" t="s">
        <v>13</v>
      </c>
      <c r="F93" s="10"/>
      <c r="G93" s="10"/>
      <c r="H93" s="11"/>
      <c r="I93" s="528" t="s">
        <v>148</v>
      </c>
      <c r="J93" s="525" t="s">
        <v>146</v>
      </c>
      <c r="K93" s="537" t="s">
        <v>147</v>
      </c>
      <c r="L93" s="522" t="s">
        <v>80</v>
      </c>
      <c r="M93" s="534" t="s">
        <v>81</v>
      </c>
      <c r="N93" s="528" t="s">
        <v>148</v>
      </c>
      <c r="O93" s="525" t="s">
        <v>149</v>
      </c>
      <c r="P93" s="531" t="s">
        <v>150</v>
      </c>
      <c r="Q93" s="534" t="s">
        <v>81</v>
      </c>
      <c r="R93" s="528" t="s">
        <v>148</v>
      </c>
      <c r="S93" s="525" t="s">
        <v>149</v>
      </c>
      <c r="T93" s="531" t="s">
        <v>150</v>
      </c>
      <c r="U93" s="534" t="s">
        <v>81</v>
      </c>
      <c r="V93" s="528" t="s">
        <v>148</v>
      </c>
      <c r="W93" s="12" t="s">
        <v>16</v>
      </c>
    </row>
    <row r="94" spans="1:22" ht="12.75" customHeight="1">
      <c r="A94" s="14"/>
      <c r="B94" s="526"/>
      <c r="C94" s="538" t="s">
        <v>30</v>
      </c>
      <c r="D94" s="523"/>
      <c r="E94" s="540" t="s">
        <v>87</v>
      </c>
      <c r="F94" s="540" t="s">
        <v>59</v>
      </c>
      <c r="G94" s="540" t="s">
        <v>60</v>
      </c>
      <c r="H94" s="534" t="s">
        <v>79</v>
      </c>
      <c r="I94" s="529"/>
      <c r="J94" s="526"/>
      <c r="K94" s="538" t="s">
        <v>30</v>
      </c>
      <c r="L94" s="523"/>
      <c r="M94" s="535"/>
      <c r="N94" s="529"/>
      <c r="O94" s="526"/>
      <c r="P94" s="532"/>
      <c r="Q94" s="535"/>
      <c r="R94" s="529"/>
      <c r="S94" s="526"/>
      <c r="T94" s="532"/>
      <c r="U94" s="535"/>
      <c r="V94" s="529"/>
    </row>
    <row r="95" spans="1:22" ht="53.25" customHeight="1" thickBot="1">
      <c r="A95" s="15" t="s">
        <v>16</v>
      </c>
      <c r="B95" s="527"/>
      <c r="C95" s="539" t="s">
        <v>58</v>
      </c>
      <c r="D95" s="524"/>
      <c r="E95" s="541"/>
      <c r="F95" s="541"/>
      <c r="G95" s="541"/>
      <c r="H95" s="536"/>
      <c r="I95" s="530"/>
      <c r="J95" s="527"/>
      <c r="K95" s="539" t="s">
        <v>58</v>
      </c>
      <c r="L95" s="524"/>
      <c r="M95" s="536"/>
      <c r="N95" s="530"/>
      <c r="O95" s="527"/>
      <c r="P95" s="533"/>
      <c r="Q95" s="536"/>
      <c r="R95" s="530"/>
      <c r="S95" s="527"/>
      <c r="T95" s="533"/>
      <c r="U95" s="536"/>
      <c r="V95" s="530"/>
    </row>
    <row r="96" spans="1:256" ht="13.5" thickBot="1">
      <c r="A96" s="166" t="s">
        <v>24</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129</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25</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7</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23.25" thickBot="1">
      <c r="A100" s="358" t="s">
        <v>55</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26</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113</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52</v>
      </c>
      <c r="B103" s="242">
        <f>SUM(B104)</f>
        <v>0</v>
      </c>
      <c r="C103" s="243">
        <f aca="true" t="shared" si="31" ref="C103:V103">SUM(C104)</f>
        <v>0</v>
      </c>
      <c r="D103" s="243">
        <f t="shared" si="31"/>
        <v>0</v>
      </c>
      <c r="E103" s="243">
        <f t="shared" si="31"/>
        <v>0</v>
      </c>
      <c r="F103" s="243">
        <f t="shared" si="31"/>
        <v>0</v>
      </c>
      <c r="G103" s="243">
        <f t="shared" si="31"/>
        <v>0</v>
      </c>
      <c r="H103" s="243">
        <f t="shared" si="31"/>
        <v>0</v>
      </c>
      <c r="I103" s="102">
        <f t="shared" si="31"/>
        <v>0</v>
      </c>
      <c r="J103" s="242">
        <f t="shared" si="31"/>
        <v>0</v>
      </c>
      <c r="K103" s="243">
        <f t="shared" si="31"/>
        <v>0</v>
      </c>
      <c r="L103" s="243">
        <f t="shared" si="31"/>
        <v>0</v>
      </c>
      <c r="M103" s="243">
        <f t="shared" si="31"/>
        <v>0</v>
      </c>
      <c r="N103" s="102">
        <f t="shared" si="31"/>
        <v>0</v>
      </c>
      <c r="O103" s="242">
        <f t="shared" si="31"/>
        <v>0</v>
      </c>
      <c r="P103" s="243">
        <f t="shared" si="31"/>
        <v>0</v>
      </c>
      <c r="Q103" s="243">
        <f t="shared" si="31"/>
        <v>0</v>
      </c>
      <c r="R103" s="102">
        <f t="shared" si="31"/>
        <v>0</v>
      </c>
      <c r="S103" s="242">
        <f t="shared" si="31"/>
        <v>0</v>
      </c>
      <c r="T103" s="243">
        <f t="shared" si="31"/>
        <v>0</v>
      </c>
      <c r="U103" s="243">
        <f t="shared" si="31"/>
        <v>0</v>
      </c>
      <c r="V103" s="102">
        <f t="shared" si="31"/>
        <v>0</v>
      </c>
      <c r="W103" s="193"/>
      <c r="X103" s="86"/>
      <c r="Y103" s="86"/>
      <c r="Z103" s="86"/>
      <c r="AA103" s="86"/>
      <c r="AB103" s="86"/>
      <c r="AC103" s="86"/>
      <c r="AD103" s="86"/>
      <c r="AE103" s="86"/>
      <c r="AF103" s="86"/>
      <c r="AG103" s="86"/>
      <c r="AH103" s="86"/>
      <c r="AI103" s="86"/>
    </row>
    <row r="104" spans="1:35" ht="13.5" thickBot="1">
      <c r="A104" s="269" t="s">
        <v>130</v>
      </c>
      <c r="B104" s="183"/>
      <c r="C104" s="185"/>
      <c r="D104" s="185"/>
      <c r="E104" s="185"/>
      <c r="F104" s="185"/>
      <c r="G104" s="185"/>
      <c r="H104" s="185"/>
      <c r="I104" s="135">
        <f>B104+D104-H104</f>
        <v>0</v>
      </c>
      <c r="J104" s="183"/>
      <c r="K104" s="184"/>
      <c r="L104" s="184"/>
      <c r="M104" s="185"/>
      <c r="N104" s="186">
        <f>J104+L104-M104</f>
        <v>0</v>
      </c>
      <c r="O104" s="183"/>
      <c r="P104" s="184"/>
      <c r="Q104" s="185"/>
      <c r="R104" s="135">
        <f>O104-Q104</f>
        <v>0</v>
      </c>
      <c r="S104" s="183"/>
      <c r="T104" s="185"/>
      <c r="U104" s="185"/>
      <c r="V104" s="135">
        <f>S104-U104</f>
        <v>0</v>
      </c>
      <c r="W104" s="193"/>
      <c r="X104" s="86"/>
      <c r="Y104" s="86"/>
      <c r="Z104" s="86"/>
      <c r="AA104" s="86"/>
      <c r="AB104" s="86"/>
      <c r="AC104" s="86"/>
      <c r="AD104" s="86"/>
      <c r="AE104" s="86"/>
      <c r="AF104" s="86"/>
      <c r="AG104" s="86"/>
      <c r="AH104" s="86"/>
      <c r="AI104" s="86"/>
    </row>
    <row r="105" spans="1:35" ht="13.5" thickBot="1">
      <c r="A105" s="268" t="s">
        <v>27</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6</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28</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1190</v>
      </c>
      <c r="N107" s="29">
        <f t="shared" si="33"/>
        <v>1164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43</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44</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45</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46</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47</v>
      </c>
      <c r="B112" s="168">
        <v>392</v>
      </c>
      <c r="C112" s="170">
        <v>392</v>
      </c>
      <c r="D112" s="170">
        <v>407</v>
      </c>
      <c r="E112" s="170">
        <v>160</v>
      </c>
      <c r="F112" s="170">
        <v>0</v>
      </c>
      <c r="G112" s="170">
        <v>302</v>
      </c>
      <c r="H112" s="170">
        <v>625</v>
      </c>
      <c r="I112" s="38">
        <f t="shared" si="34"/>
        <v>174</v>
      </c>
      <c r="J112" s="168">
        <v>150</v>
      </c>
      <c r="K112" s="170">
        <v>150</v>
      </c>
      <c r="L112" s="170">
        <v>2</v>
      </c>
      <c r="M112" s="170">
        <v>2</v>
      </c>
      <c r="N112" s="38">
        <f t="shared" si="35"/>
        <v>150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48</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49</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56</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50</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198</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173</v>
      </c>
      <c r="B119" s="275"/>
      <c r="C119" s="667">
        <v>394</v>
      </c>
      <c r="D119" s="668"/>
      <c r="E119" s="277"/>
      <c r="F119" s="278"/>
      <c r="G119" s="279"/>
      <c r="H119" s="278"/>
      <c r="I119" s="276"/>
      <c r="J119" s="276"/>
      <c r="K119" s="277"/>
      <c r="L119" s="280"/>
      <c r="M119" s="281"/>
      <c r="N119" s="281"/>
      <c r="O119" s="658"/>
      <c r="P119" s="659"/>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664"/>
      <c r="J120" s="665"/>
      <c r="K120" s="294"/>
      <c r="L120" s="295"/>
      <c r="M120" s="296"/>
      <c r="N120" s="296"/>
      <c r="O120" s="664"/>
      <c r="P120" s="666"/>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662"/>
      <c r="J123" s="663"/>
      <c r="K123" s="308"/>
      <c r="L123" s="306"/>
      <c r="M123" s="309"/>
      <c r="N123" s="309"/>
      <c r="O123" s="660"/>
      <c r="P123" s="661"/>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61" t="s">
        <v>145</v>
      </c>
      <c r="B125" s="461"/>
      <c r="C125" s="461"/>
      <c r="D125" s="461"/>
      <c r="E125" s="461"/>
      <c r="F125" s="461"/>
      <c r="G125" s="461"/>
      <c r="H125" s="461"/>
      <c r="I125" s="461"/>
      <c r="J125" s="461"/>
      <c r="K125" s="461"/>
      <c r="L125" s="461"/>
      <c r="M125" s="461"/>
      <c r="N125" s="461"/>
      <c r="O125" s="461"/>
      <c r="P125" s="461"/>
      <c r="Q125" s="461"/>
      <c r="R125" s="461"/>
      <c r="S125" s="461"/>
      <c r="T125" s="461"/>
      <c r="U125" s="461"/>
      <c r="V125" s="461"/>
      <c r="W125" s="16"/>
      <c r="X125" s="17"/>
      <c r="Y125" s="489"/>
      <c r="Z125" s="490"/>
      <c r="AC125" s="17"/>
      <c r="AH125" s="17"/>
    </row>
    <row r="126" spans="1:34" ht="22.5">
      <c r="A126" s="18" t="s">
        <v>0</v>
      </c>
      <c r="B126" s="139" t="s">
        <v>86</v>
      </c>
      <c r="C126" s="139"/>
      <c r="D126" s="139"/>
      <c r="E126" s="139"/>
      <c r="F126" s="139"/>
      <c r="G126" s="140"/>
      <c r="H126" s="19" t="s">
        <v>29</v>
      </c>
      <c r="I126" s="462" t="s">
        <v>85</v>
      </c>
      <c r="J126" s="463"/>
      <c r="K126" s="463"/>
      <c r="L126" s="463"/>
      <c r="M126" s="463"/>
      <c r="N126" s="463"/>
      <c r="O126" s="463"/>
      <c r="P126" s="463"/>
      <c r="Q126" s="463"/>
      <c r="R126" s="463"/>
      <c r="S126" s="463"/>
      <c r="T126" s="463"/>
      <c r="U126" s="464"/>
      <c r="V126" s="20" t="s">
        <v>29</v>
      </c>
      <c r="W126" s="16"/>
      <c r="X126" s="17"/>
      <c r="Y126" s="489"/>
      <c r="Z126" s="490"/>
      <c r="AC126" s="17"/>
      <c r="AH126" s="17"/>
    </row>
    <row r="127" spans="1:34" ht="13.5" thickBot="1">
      <c r="A127" s="21"/>
      <c r="B127" s="22" t="s">
        <v>61</v>
      </c>
      <c r="C127" s="22"/>
      <c r="D127" s="22"/>
      <c r="E127" s="22"/>
      <c r="F127" s="22"/>
      <c r="G127" s="23"/>
      <c r="H127" s="24" t="s">
        <v>62</v>
      </c>
      <c r="I127" s="465"/>
      <c r="J127" s="466"/>
      <c r="K127" s="466"/>
      <c r="L127" s="466"/>
      <c r="M127" s="466"/>
      <c r="N127" s="466"/>
      <c r="O127" s="466"/>
      <c r="P127" s="466"/>
      <c r="Q127" s="466"/>
      <c r="R127" s="466"/>
      <c r="S127" s="466"/>
      <c r="T127" s="466"/>
      <c r="U127" s="467"/>
      <c r="V127" s="25" t="s">
        <v>63</v>
      </c>
      <c r="W127" s="16"/>
      <c r="X127" s="17"/>
      <c r="Y127" s="489"/>
      <c r="Z127" s="490"/>
      <c r="AC127" s="17"/>
      <c r="AH127" s="17"/>
    </row>
    <row r="128" spans="1:34" ht="13.5" thickBot="1">
      <c r="A128" s="26" t="s">
        <v>14</v>
      </c>
      <c r="B128" s="27"/>
      <c r="C128" s="28"/>
      <c r="D128" s="28"/>
      <c r="E128" s="28"/>
      <c r="F128" s="28"/>
      <c r="G128" s="28"/>
      <c r="H128" s="29">
        <f>SUM(H129:H142)</f>
        <v>0</v>
      </c>
      <c r="I128" s="30"/>
      <c r="J128" s="28"/>
      <c r="K128" s="28"/>
      <c r="L128" s="28"/>
      <c r="M128" s="28"/>
      <c r="N128" s="28"/>
      <c r="O128" s="28"/>
      <c r="P128" s="28"/>
      <c r="Q128" s="28"/>
      <c r="R128" s="28"/>
      <c r="S128" s="28"/>
      <c r="T128" s="28"/>
      <c r="U128" s="28"/>
      <c r="V128" s="29">
        <f>SUM(V129:V142)</f>
        <v>852</v>
      </c>
      <c r="W128" s="16"/>
      <c r="X128" s="17"/>
      <c r="Y128" s="649"/>
      <c r="Z128" s="490"/>
      <c r="AC128" s="17"/>
      <c r="AH128" s="17"/>
    </row>
    <row r="129" spans="1:34" ht="12.75">
      <c r="A129" s="141" t="s">
        <v>104</v>
      </c>
      <c r="B129" s="32"/>
      <c r="C129" s="33"/>
      <c r="D129" s="33"/>
      <c r="E129" s="33"/>
      <c r="F129" s="33"/>
      <c r="G129" s="33"/>
      <c r="H129" s="34">
        <v>0</v>
      </c>
      <c r="I129" s="32"/>
      <c r="J129" s="33"/>
      <c r="K129" s="33"/>
      <c r="L129" s="33"/>
      <c r="M129" s="33"/>
      <c r="N129" s="33"/>
      <c r="O129" s="33"/>
      <c r="P129" s="33"/>
      <c r="Q129" s="33"/>
      <c r="R129" s="33"/>
      <c r="S129" s="33"/>
      <c r="T129" s="33"/>
      <c r="U129" s="33"/>
      <c r="V129" s="35">
        <v>0</v>
      </c>
      <c r="W129" s="16"/>
      <c r="X129" s="17"/>
      <c r="Y129" s="649"/>
      <c r="Z129" s="490"/>
      <c r="AC129" s="17"/>
      <c r="AH129" s="17"/>
    </row>
    <row r="130" spans="1:34" ht="12.75">
      <c r="A130" s="141" t="s">
        <v>114</v>
      </c>
      <c r="B130" s="32"/>
      <c r="C130" s="33"/>
      <c r="D130" s="33"/>
      <c r="E130" s="33"/>
      <c r="F130" s="33"/>
      <c r="G130" s="33"/>
      <c r="H130" s="34">
        <v>0</v>
      </c>
      <c r="I130" s="36" t="s">
        <v>169</v>
      </c>
      <c r="J130" s="33"/>
      <c r="K130" s="33"/>
      <c r="L130" s="33"/>
      <c r="M130" s="33"/>
      <c r="N130" s="33"/>
      <c r="O130" s="33"/>
      <c r="P130" s="33"/>
      <c r="Q130" s="33"/>
      <c r="R130" s="33"/>
      <c r="S130" s="33"/>
      <c r="T130" s="33"/>
      <c r="U130" s="33"/>
      <c r="V130" s="35">
        <v>350</v>
      </c>
      <c r="W130" s="16"/>
      <c r="X130" s="17"/>
      <c r="Y130" s="649"/>
      <c r="Z130" s="490"/>
      <c r="AC130" s="17"/>
      <c r="AH130" s="17"/>
    </row>
    <row r="131" spans="1:34" ht="12.75">
      <c r="A131" s="173" t="s">
        <v>42</v>
      </c>
      <c r="B131" s="32"/>
      <c r="C131" s="33"/>
      <c r="D131" s="33"/>
      <c r="E131" s="33"/>
      <c r="F131" s="33"/>
      <c r="G131" s="33"/>
      <c r="H131" s="34">
        <v>0</v>
      </c>
      <c r="I131" s="36"/>
      <c r="J131" s="33"/>
      <c r="K131" s="33"/>
      <c r="L131" s="33"/>
      <c r="M131" s="33"/>
      <c r="N131" s="33"/>
      <c r="O131" s="33"/>
      <c r="P131" s="33"/>
      <c r="Q131" s="33"/>
      <c r="R131" s="33"/>
      <c r="S131" s="33"/>
      <c r="T131" s="33"/>
      <c r="U131" s="33"/>
      <c r="V131" s="35">
        <v>0</v>
      </c>
      <c r="W131" s="16"/>
      <c r="X131" s="17"/>
      <c r="Y131" s="649"/>
      <c r="Z131" s="490"/>
      <c r="AC131" s="17"/>
      <c r="AH131" s="17"/>
    </row>
    <row r="132" spans="1:34" s="40" customFormat="1" ht="12.75">
      <c r="A132" s="141" t="s">
        <v>105</v>
      </c>
      <c r="B132" s="36"/>
      <c r="C132" s="37"/>
      <c r="D132" s="37"/>
      <c r="E132" s="37"/>
      <c r="F132" s="37"/>
      <c r="G132" s="37"/>
      <c r="H132" s="38">
        <v>0</v>
      </c>
      <c r="I132" s="36"/>
      <c r="J132" s="37"/>
      <c r="K132" s="37"/>
      <c r="L132" s="37"/>
      <c r="M132" s="37"/>
      <c r="N132" s="37"/>
      <c r="O132" s="37"/>
      <c r="P132" s="37"/>
      <c r="Q132" s="37"/>
      <c r="R132" s="37"/>
      <c r="S132" s="37"/>
      <c r="T132" s="37"/>
      <c r="U132" s="37"/>
      <c r="V132" s="39">
        <v>0</v>
      </c>
      <c r="X132" s="41"/>
      <c r="Y132" s="649"/>
      <c r="Z132" s="490"/>
      <c r="AC132" s="41"/>
      <c r="AH132" s="41"/>
    </row>
    <row r="133" spans="1:34" ht="12.75">
      <c r="A133" s="141" t="s">
        <v>57</v>
      </c>
      <c r="B133" s="32"/>
      <c r="C133" s="33"/>
      <c r="D133" s="33"/>
      <c r="E133" s="33"/>
      <c r="F133" s="33"/>
      <c r="G133" s="33"/>
      <c r="H133" s="34">
        <v>0</v>
      </c>
      <c r="I133" s="32"/>
      <c r="J133" s="33"/>
      <c r="K133" s="33"/>
      <c r="L133" s="33"/>
      <c r="M133" s="33"/>
      <c r="N133" s="33"/>
      <c r="O133" s="33"/>
      <c r="P133" s="33"/>
      <c r="Q133" s="33"/>
      <c r="R133" s="33"/>
      <c r="S133" s="33"/>
      <c r="T133" s="33"/>
      <c r="U133" s="33"/>
      <c r="V133" s="35">
        <v>0</v>
      </c>
      <c r="W133" s="16"/>
      <c r="X133" s="42"/>
      <c r="Y133" s="649"/>
      <c r="Z133" s="490"/>
      <c r="AC133" s="42"/>
      <c r="AH133" s="42"/>
    </row>
    <row r="134" spans="1:26" ht="12.75">
      <c r="A134" s="141" t="s">
        <v>106</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t="s">
        <v>16</v>
      </c>
      <c r="Z134" s="42"/>
    </row>
    <row r="135" spans="1:22" s="40" customFormat="1" ht="12.75">
      <c r="A135" s="141" t="s">
        <v>103</v>
      </c>
      <c r="B135" s="36"/>
      <c r="C135" s="37"/>
      <c r="D135" s="37"/>
      <c r="E135" s="37"/>
      <c r="F135" s="37"/>
      <c r="G135" s="37"/>
      <c r="H135" s="38">
        <v>0</v>
      </c>
      <c r="I135" s="36"/>
      <c r="J135" s="37"/>
      <c r="K135" s="37"/>
      <c r="L135" s="37"/>
      <c r="M135" s="37"/>
      <c r="N135" s="37"/>
      <c r="O135" s="37"/>
      <c r="P135" s="37"/>
      <c r="Q135" s="37"/>
      <c r="R135" s="37"/>
      <c r="S135" s="37"/>
      <c r="T135" s="37"/>
      <c r="U135" s="37"/>
      <c r="V135" s="39">
        <v>0</v>
      </c>
    </row>
    <row r="136" spans="1:22" s="40" customFormat="1" ht="12.75">
      <c r="A136" s="141" t="s">
        <v>111</v>
      </c>
      <c r="B136" s="36"/>
      <c r="C136" s="43"/>
      <c r="D136" s="37"/>
      <c r="E136" s="37"/>
      <c r="F136" s="37"/>
      <c r="G136" s="37"/>
      <c r="H136" s="38">
        <v>0</v>
      </c>
      <c r="I136" s="36" t="s">
        <v>215</v>
      </c>
      <c r="J136" s="37"/>
      <c r="K136" s="37"/>
      <c r="L136" s="37"/>
      <c r="M136" s="37"/>
      <c r="N136" s="37"/>
      <c r="O136" s="44"/>
      <c r="P136" s="44"/>
      <c r="Q136" s="44"/>
      <c r="R136" s="44"/>
      <c r="S136" s="44"/>
      <c r="T136" s="44"/>
      <c r="U136" s="37"/>
      <c r="V136" s="39">
        <v>67</v>
      </c>
    </row>
    <row r="137" spans="1:23" ht="12.75">
      <c r="A137" s="141" t="s">
        <v>112</v>
      </c>
      <c r="B137" s="32"/>
      <c r="C137" s="33"/>
      <c r="D137" s="33"/>
      <c r="E137" s="33"/>
      <c r="F137" s="33"/>
      <c r="G137" s="33"/>
      <c r="H137" s="34">
        <v>0</v>
      </c>
      <c r="I137" s="36" t="s">
        <v>216</v>
      </c>
      <c r="J137" s="33"/>
      <c r="K137" s="33"/>
      <c r="L137" s="33"/>
      <c r="M137" s="33"/>
      <c r="N137" s="33"/>
      <c r="O137" s="33"/>
      <c r="P137" s="33"/>
      <c r="Q137" s="33"/>
      <c r="R137" s="33"/>
      <c r="S137" s="33"/>
      <c r="T137" s="33"/>
      <c r="U137" s="33"/>
      <c r="V137" s="35">
        <v>235</v>
      </c>
      <c r="W137" s="16"/>
    </row>
    <row r="138" spans="1:23" ht="12.75">
      <c r="A138" s="141" t="s">
        <v>168</v>
      </c>
      <c r="B138" s="36"/>
      <c r="C138" s="33"/>
      <c r="D138" s="33"/>
      <c r="E138" s="33"/>
      <c r="F138" s="33"/>
      <c r="G138" s="33"/>
      <c r="H138" s="34">
        <v>0</v>
      </c>
      <c r="J138" s="33"/>
      <c r="K138" s="33"/>
      <c r="L138" s="33"/>
      <c r="M138" s="33"/>
      <c r="N138" s="33"/>
      <c r="O138" s="33"/>
      <c r="P138" s="33"/>
      <c r="Q138" s="33"/>
      <c r="R138" s="33"/>
      <c r="S138" s="33"/>
      <c r="T138" s="33"/>
      <c r="U138" s="33"/>
      <c r="V138" s="35">
        <v>0</v>
      </c>
      <c r="W138" s="16"/>
    </row>
    <row r="139" spans="1:23" ht="12.75">
      <c r="A139" s="141" t="s">
        <v>107</v>
      </c>
      <c r="B139" s="32"/>
      <c r="C139" s="33"/>
      <c r="D139" s="33"/>
      <c r="E139" s="33"/>
      <c r="F139" s="33"/>
      <c r="G139" s="33"/>
      <c r="H139" s="34">
        <v>0</v>
      </c>
      <c r="I139" s="51"/>
      <c r="J139" s="33"/>
      <c r="K139" s="33"/>
      <c r="L139" s="33"/>
      <c r="M139" s="33"/>
      <c r="N139" s="33"/>
      <c r="O139" s="33"/>
      <c r="P139" s="33"/>
      <c r="Q139" s="33"/>
      <c r="R139" s="33"/>
      <c r="S139" s="33"/>
      <c r="T139" s="33"/>
      <c r="U139" s="33"/>
      <c r="V139" s="35">
        <v>0</v>
      </c>
      <c r="W139" s="16"/>
    </row>
    <row r="140" spans="1:23" ht="12.75">
      <c r="A140" s="141" t="s">
        <v>108</v>
      </c>
      <c r="B140" s="32"/>
      <c r="C140" s="33"/>
      <c r="D140" s="33"/>
      <c r="E140" s="33"/>
      <c r="F140" s="33"/>
      <c r="G140" s="33"/>
      <c r="H140" s="34">
        <v>0</v>
      </c>
      <c r="I140" s="32"/>
      <c r="J140" s="33"/>
      <c r="K140" s="33"/>
      <c r="L140" s="33"/>
      <c r="M140" s="33"/>
      <c r="N140" s="33"/>
      <c r="O140" s="33"/>
      <c r="P140" s="33"/>
      <c r="Q140" s="33"/>
      <c r="R140" s="33"/>
      <c r="S140" s="33"/>
      <c r="T140" s="33"/>
      <c r="U140" s="33"/>
      <c r="V140" s="35">
        <v>0</v>
      </c>
      <c r="W140" s="16"/>
    </row>
    <row r="141" spans="1:23" ht="12.75">
      <c r="A141" s="141" t="s">
        <v>109</v>
      </c>
      <c r="B141" s="45"/>
      <c r="C141" s="46"/>
      <c r="D141" s="46"/>
      <c r="E141" s="46"/>
      <c r="F141" s="46"/>
      <c r="G141" s="46"/>
      <c r="H141" s="47">
        <v>0</v>
      </c>
      <c r="I141" s="48"/>
      <c r="J141" s="46"/>
      <c r="K141" s="46"/>
      <c r="L141" s="46"/>
      <c r="M141" s="46"/>
      <c r="N141" s="46"/>
      <c r="O141" s="46"/>
      <c r="P141" s="46"/>
      <c r="Q141" s="46"/>
      <c r="R141" s="46"/>
      <c r="S141" s="46"/>
      <c r="T141" s="46"/>
      <c r="U141" s="46"/>
      <c r="V141" s="49">
        <v>0</v>
      </c>
      <c r="W141" s="16"/>
    </row>
    <row r="142" spans="1:23" ht="13.5" thickBot="1">
      <c r="A142" s="180" t="s">
        <v>110</v>
      </c>
      <c r="B142" s="51"/>
      <c r="C142" s="33"/>
      <c r="D142" s="33"/>
      <c r="E142" s="33"/>
      <c r="F142" s="33"/>
      <c r="G142" s="33"/>
      <c r="H142" s="34">
        <v>0</v>
      </c>
      <c r="I142" s="51" t="s">
        <v>217</v>
      </c>
      <c r="J142" s="33"/>
      <c r="K142" s="33"/>
      <c r="L142" s="33"/>
      <c r="M142" s="33"/>
      <c r="N142" s="33"/>
      <c r="O142" s="33"/>
      <c r="P142" s="33"/>
      <c r="Q142" s="33"/>
      <c r="R142" s="33"/>
      <c r="S142" s="33"/>
      <c r="T142" s="33"/>
      <c r="U142" s="33"/>
      <c r="V142" s="38">
        <v>200</v>
      </c>
      <c r="W142" s="16"/>
    </row>
    <row r="143" spans="1:22" ht="13.5" thickBot="1">
      <c r="A143" s="52" t="s">
        <v>64</v>
      </c>
      <c r="B143" s="27"/>
      <c r="C143" s="28"/>
      <c r="D143" s="28"/>
      <c r="E143" s="28"/>
      <c r="F143" s="28"/>
      <c r="G143" s="28"/>
      <c r="H143" s="29">
        <f>SUM(H144:H161)</f>
        <v>1400</v>
      </c>
      <c r="I143" s="27"/>
      <c r="J143" s="28"/>
      <c r="K143" s="28"/>
      <c r="L143" s="28"/>
      <c r="M143" s="28"/>
      <c r="N143" s="28"/>
      <c r="O143" s="28"/>
      <c r="P143" s="28"/>
      <c r="Q143" s="28"/>
      <c r="R143" s="28"/>
      <c r="S143" s="28"/>
      <c r="T143" s="28"/>
      <c r="U143" s="28"/>
      <c r="V143" s="29">
        <f>SUM(V144:V161)</f>
        <v>2000</v>
      </c>
    </row>
    <row r="144" spans="1:22" s="40" customFormat="1" ht="12.75">
      <c r="A144" s="50" t="s">
        <v>65</v>
      </c>
      <c r="B144" s="441" t="s">
        <v>205</v>
      </c>
      <c r="C144" s="442"/>
      <c r="D144" s="442"/>
      <c r="E144" s="442"/>
      <c r="F144" s="442"/>
      <c r="G144" s="443"/>
      <c r="H144" s="53">
        <v>80</v>
      </c>
      <c r="I144" s="441" t="s">
        <v>218</v>
      </c>
      <c r="J144" s="442"/>
      <c r="K144" s="442"/>
      <c r="L144" s="442"/>
      <c r="M144" s="442"/>
      <c r="N144" s="442"/>
      <c r="O144" s="442"/>
      <c r="P144" s="442"/>
      <c r="Q144" s="442"/>
      <c r="R144" s="442"/>
      <c r="S144" s="442"/>
      <c r="T144" s="442"/>
      <c r="U144" s="443"/>
      <c r="V144" s="54">
        <v>150</v>
      </c>
    </row>
    <row r="145" spans="1:22" s="40" customFormat="1" ht="12.75">
      <c r="A145" s="31" t="s">
        <v>1</v>
      </c>
      <c r="B145" s="36"/>
      <c r="C145" s="37"/>
      <c r="D145" s="37"/>
      <c r="E145" s="37"/>
      <c r="F145" s="37"/>
      <c r="G145" s="37"/>
      <c r="H145" s="38">
        <v>0</v>
      </c>
      <c r="I145" s="36"/>
      <c r="J145" s="37"/>
      <c r="K145" s="37"/>
      <c r="L145" s="37"/>
      <c r="M145" s="37"/>
      <c r="N145" s="37"/>
      <c r="O145" s="37"/>
      <c r="P145" s="37"/>
      <c r="Q145" s="37"/>
      <c r="R145" s="37"/>
      <c r="S145" s="37"/>
      <c r="T145" s="37"/>
      <c r="U145" s="37"/>
      <c r="V145" s="39"/>
    </row>
    <row r="146" spans="1:22" s="40" customFormat="1" ht="36.75" customHeight="1">
      <c r="A146" s="55" t="s">
        <v>95</v>
      </c>
      <c r="B146" s="36"/>
      <c r="C146" s="37"/>
      <c r="D146" s="37"/>
      <c r="E146" s="37"/>
      <c r="F146" s="37"/>
      <c r="G146" s="37"/>
      <c r="H146" s="38">
        <v>0</v>
      </c>
      <c r="I146" s="444" t="s">
        <v>219</v>
      </c>
      <c r="J146" s="445"/>
      <c r="K146" s="445"/>
      <c r="L146" s="445"/>
      <c r="M146" s="445"/>
      <c r="N146" s="445"/>
      <c r="O146" s="445"/>
      <c r="P146" s="445"/>
      <c r="Q146" s="445"/>
      <c r="R146" s="445"/>
      <c r="S146" s="445"/>
      <c r="T146" s="445"/>
      <c r="U146" s="446"/>
      <c r="V146" s="39">
        <v>1030</v>
      </c>
    </row>
    <row r="147" spans="1:22" s="40" customFormat="1" ht="18.75" customHeight="1">
      <c r="A147" s="31" t="s">
        <v>2</v>
      </c>
      <c r="B147" s="444" t="s">
        <v>206</v>
      </c>
      <c r="C147" s="445"/>
      <c r="D147" s="445"/>
      <c r="E147" s="445"/>
      <c r="F147" s="445"/>
      <c r="G147" s="446"/>
      <c r="H147" s="38">
        <v>100</v>
      </c>
      <c r="I147" s="650"/>
      <c r="J147" s="651"/>
      <c r="K147" s="651"/>
      <c r="L147" s="651"/>
      <c r="M147" s="651"/>
      <c r="N147" s="37"/>
      <c r="O147" s="37"/>
      <c r="P147" s="37"/>
      <c r="Q147" s="37"/>
      <c r="R147" s="37"/>
      <c r="S147" s="37"/>
      <c r="T147" s="37"/>
      <c r="U147" s="37"/>
      <c r="V147" s="39"/>
    </row>
    <row r="148" spans="1:22" s="40" customFormat="1" ht="12.75">
      <c r="A148" s="31" t="s">
        <v>96</v>
      </c>
      <c r="B148" s="36"/>
      <c r="C148" s="44"/>
      <c r="D148" s="37"/>
      <c r="E148" s="37"/>
      <c r="F148" s="37"/>
      <c r="G148" s="37"/>
      <c r="H148" s="38">
        <v>0</v>
      </c>
      <c r="I148" s="444" t="s">
        <v>200</v>
      </c>
      <c r="J148" s="445"/>
      <c r="K148" s="445"/>
      <c r="L148" s="445"/>
      <c r="M148" s="445"/>
      <c r="N148" s="445"/>
      <c r="O148" s="445"/>
      <c r="P148" s="445"/>
      <c r="Q148" s="445"/>
      <c r="R148" s="445"/>
      <c r="S148" s="445"/>
      <c r="T148" s="445"/>
      <c r="U148" s="446"/>
      <c r="V148" s="39">
        <v>170</v>
      </c>
    </row>
    <row r="149" spans="1:22" s="40" customFormat="1" ht="12.75" customHeight="1">
      <c r="A149" s="485" t="s">
        <v>97</v>
      </c>
      <c r="B149" s="435" t="s">
        <v>207</v>
      </c>
      <c r="C149" s="436"/>
      <c r="D149" s="436"/>
      <c r="E149" s="436"/>
      <c r="F149" s="436"/>
      <c r="G149" s="437"/>
      <c r="H149" s="487">
        <v>63</v>
      </c>
      <c r="I149" s="491" t="s">
        <v>201</v>
      </c>
      <c r="J149" s="492"/>
      <c r="K149" s="492"/>
      <c r="L149" s="492"/>
      <c r="M149" s="492"/>
      <c r="N149" s="492"/>
      <c r="O149" s="492"/>
      <c r="P149" s="492"/>
      <c r="Q149" s="492"/>
      <c r="R149" s="492"/>
      <c r="S149" s="492"/>
      <c r="T149" s="492"/>
      <c r="U149" s="493"/>
      <c r="V149" s="487">
        <v>430</v>
      </c>
    </row>
    <row r="150" spans="1:22" s="40" customFormat="1" ht="10.5" customHeight="1">
      <c r="A150" s="486"/>
      <c r="B150" s="447"/>
      <c r="C150" s="448"/>
      <c r="D150" s="448"/>
      <c r="E150" s="448"/>
      <c r="F150" s="448"/>
      <c r="G150" s="449"/>
      <c r="H150" s="488"/>
      <c r="I150" s="494"/>
      <c r="J150" s="495"/>
      <c r="K150" s="495"/>
      <c r="L150" s="495"/>
      <c r="M150" s="495"/>
      <c r="N150" s="495"/>
      <c r="O150" s="495"/>
      <c r="P150" s="495"/>
      <c r="Q150" s="495"/>
      <c r="R150" s="495"/>
      <c r="S150" s="495"/>
      <c r="T150" s="495"/>
      <c r="U150" s="496"/>
      <c r="V150" s="488"/>
    </row>
    <row r="151" spans="1:22" s="40" customFormat="1" ht="12.75">
      <c r="A151" s="31" t="s">
        <v>3</v>
      </c>
      <c r="B151" s="36"/>
      <c r="C151" s="37"/>
      <c r="D151" s="37"/>
      <c r="E151" s="37"/>
      <c r="F151" s="37"/>
      <c r="G151" s="37"/>
      <c r="H151" s="38">
        <v>0</v>
      </c>
      <c r="I151" s="444" t="s">
        <v>220</v>
      </c>
      <c r="J151" s="445"/>
      <c r="K151" s="445"/>
      <c r="L151" s="445"/>
      <c r="M151" s="445"/>
      <c r="N151" s="445"/>
      <c r="O151" s="445"/>
      <c r="P151" s="445"/>
      <c r="Q151" s="445"/>
      <c r="R151" s="445"/>
      <c r="S151" s="445"/>
      <c r="T151" s="445"/>
      <c r="U151" s="446"/>
      <c r="V151" s="39">
        <v>70</v>
      </c>
    </row>
    <row r="152" spans="1:22" s="40" customFormat="1" ht="12.75">
      <c r="A152" s="57" t="s">
        <v>4</v>
      </c>
      <c r="B152" s="36"/>
      <c r="C152" s="37"/>
      <c r="D152" s="37"/>
      <c r="E152" s="37"/>
      <c r="F152" s="37"/>
      <c r="G152" s="37"/>
      <c r="H152" s="38">
        <v>0</v>
      </c>
      <c r="I152" s="36"/>
      <c r="J152" s="37"/>
      <c r="K152" s="37"/>
      <c r="L152" s="37"/>
      <c r="M152" s="37"/>
      <c r="N152" s="37"/>
      <c r="O152" s="37"/>
      <c r="P152" s="37"/>
      <c r="Q152" s="37"/>
      <c r="R152" s="37"/>
      <c r="S152" s="37"/>
      <c r="T152" s="37"/>
      <c r="U152" s="37"/>
      <c r="V152" s="39">
        <v>0</v>
      </c>
    </row>
    <row r="153" spans="1:22" s="40" customFormat="1" ht="22.5" customHeight="1">
      <c r="A153" s="450" t="s">
        <v>101</v>
      </c>
      <c r="B153" s="435" t="s">
        <v>209</v>
      </c>
      <c r="C153" s="436"/>
      <c r="D153" s="436"/>
      <c r="E153" s="436"/>
      <c r="F153" s="436"/>
      <c r="G153" s="437"/>
      <c r="H153" s="487">
        <v>532</v>
      </c>
      <c r="I153" s="435"/>
      <c r="J153" s="436"/>
      <c r="K153" s="436"/>
      <c r="L153" s="436"/>
      <c r="M153" s="436"/>
      <c r="N153" s="436"/>
      <c r="O153" s="436"/>
      <c r="P153" s="436"/>
      <c r="Q153" s="436"/>
      <c r="R153" s="436"/>
      <c r="S153" s="436"/>
      <c r="T153" s="436"/>
      <c r="U153" s="437"/>
      <c r="V153" s="487">
        <v>0</v>
      </c>
    </row>
    <row r="154" spans="1:22" s="40" customFormat="1" ht="12.75">
      <c r="A154" s="451"/>
      <c r="B154" s="447"/>
      <c r="C154" s="448"/>
      <c r="D154" s="448"/>
      <c r="E154" s="448"/>
      <c r="F154" s="448"/>
      <c r="G154" s="449"/>
      <c r="H154" s="488"/>
      <c r="I154" s="447"/>
      <c r="J154" s="448"/>
      <c r="K154" s="448"/>
      <c r="L154" s="448"/>
      <c r="M154" s="448"/>
      <c r="N154" s="448"/>
      <c r="O154" s="448"/>
      <c r="P154" s="448"/>
      <c r="Q154" s="448"/>
      <c r="R154" s="448"/>
      <c r="S154" s="448"/>
      <c r="T154" s="448"/>
      <c r="U154" s="449"/>
      <c r="V154" s="488"/>
    </row>
    <row r="155" spans="1:22" s="40" customFormat="1" ht="23.25" customHeight="1">
      <c r="A155" s="55" t="s">
        <v>5</v>
      </c>
      <c r="B155" s="435" t="s">
        <v>202</v>
      </c>
      <c r="C155" s="436"/>
      <c r="D155" s="436"/>
      <c r="E155" s="436"/>
      <c r="F155" s="436"/>
      <c r="G155" s="437"/>
      <c r="H155" s="38">
        <v>200</v>
      </c>
      <c r="I155" s="36"/>
      <c r="J155" s="37"/>
      <c r="K155" s="37"/>
      <c r="L155" s="37"/>
      <c r="M155" s="37"/>
      <c r="N155" s="37"/>
      <c r="O155" s="37"/>
      <c r="P155" s="37"/>
      <c r="Q155" s="37"/>
      <c r="R155" s="37"/>
      <c r="S155" s="37"/>
      <c r="T155" s="37"/>
      <c r="U155" s="37"/>
      <c r="V155" s="38">
        <v>0</v>
      </c>
    </row>
    <row r="156" spans="1:22" s="40" customFormat="1" ht="22.5" customHeight="1">
      <c r="A156" s="450" t="s">
        <v>82</v>
      </c>
      <c r="B156" s="435" t="s">
        <v>203</v>
      </c>
      <c r="C156" s="436"/>
      <c r="D156" s="436"/>
      <c r="E156" s="436"/>
      <c r="F156" s="436"/>
      <c r="G156" s="437"/>
      <c r="H156" s="487">
        <v>225</v>
      </c>
      <c r="I156" s="435"/>
      <c r="J156" s="436"/>
      <c r="K156" s="436"/>
      <c r="L156" s="436"/>
      <c r="M156" s="436"/>
      <c r="N156" s="436"/>
      <c r="O156" s="436"/>
      <c r="P156" s="436"/>
      <c r="Q156" s="436"/>
      <c r="R156" s="436"/>
      <c r="S156" s="436"/>
      <c r="T156" s="436"/>
      <c r="U156" s="437"/>
      <c r="V156" s="487">
        <v>0</v>
      </c>
    </row>
    <row r="157" spans="1:22" s="40" customFormat="1" ht="32.25" customHeight="1">
      <c r="A157" s="451"/>
      <c r="B157" s="447"/>
      <c r="C157" s="448"/>
      <c r="D157" s="448"/>
      <c r="E157" s="448"/>
      <c r="F157" s="448"/>
      <c r="G157" s="449"/>
      <c r="H157" s="488"/>
      <c r="I157" s="447"/>
      <c r="J157" s="448"/>
      <c r="K157" s="448"/>
      <c r="L157" s="448"/>
      <c r="M157" s="448"/>
      <c r="N157" s="448"/>
      <c r="O157" s="448"/>
      <c r="P157" s="448"/>
      <c r="Q157" s="448"/>
      <c r="R157" s="448"/>
      <c r="S157" s="448"/>
      <c r="T157" s="448"/>
      <c r="U157" s="449"/>
      <c r="V157" s="488"/>
    </row>
    <row r="158" spans="1:22" s="40" customFormat="1" ht="12.75" customHeight="1">
      <c r="A158" s="450" t="s">
        <v>100</v>
      </c>
      <c r="B158" s="435" t="s">
        <v>204</v>
      </c>
      <c r="C158" s="436"/>
      <c r="D158" s="436"/>
      <c r="E158" s="436"/>
      <c r="F158" s="436"/>
      <c r="G158" s="437"/>
      <c r="H158" s="487">
        <v>150</v>
      </c>
      <c r="I158" s="435"/>
      <c r="J158" s="436"/>
      <c r="K158" s="436"/>
      <c r="L158" s="436"/>
      <c r="M158" s="436"/>
      <c r="N158" s="436"/>
      <c r="O158" s="436"/>
      <c r="P158" s="436"/>
      <c r="Q158" s="436"/>
      <c r="R158" s="436"/>
      <c r="S158" s="436"/>
      <c r="T158" s="436"/>
      <c r="U158" s="437"/>
      <c r="V158" s="487">
        <v>0</v>
      </c>
    </row>
    <row r="159" spans="1:22" s="40" customFormat="1" ht="12.75" customHeight="1">
      <c r="A159" s="451"/>
      <c r="B159" s="447"/>
      <c r="C159" s="448"/>
      <c r="D159" s="448"/>
      <c r="E159" s="448"/>
      <c r="F159" s="448"/>
      <c r="G159" s="449"/>
      <c r="H159" s="488"/>
      <c r="I159" s="447"/>
      <c r="J159" s="448"/>
      <c r="K159" s="448"/>
      <c r="L159" s="448"/>
      <c r="M159" s="448"/>
      <c r="N159" s="448"/>
      <c r="O159" s="448"/>
      <c r="P159" s="448"/>
      <c r="Q159" s="448"/>
      <c r="R159" s="448"/>
      <c r="S159" s="448"/>
      <c r="T159" s="448"/>
      <c r="U159" s="449"/>
      <c r="V159" s="488"/>
    </row>
    <row r="160" spans="1:22" s="40" customFormat="1" ht="19.5" customHeight="1">
      <c r="A160" s="31" t="s">
        <v>31</v>
      </c>
      <c r="B160" s="435" t="s">
        <v>208</v>
      </c>
      <c r="C160" s="436"/>
      <c r="D160" s="436"/>
      <c r="E160" s="436"/>
      <c r="F160" s="436"/>
      <c r="G160" s="437"/>
      <c r="H160" s="38">
        <v>50</v>
      </c>
      <c r="I160" s="36"/>
      <c r="J160" s="37"/>
      <c r="K160" s="37"/>
      <c r="L160" s="37"/>
      <c r="M160" s="37"/>
      <c r="N160" s="37"/>
      <c r="O160" s="37"/>
      <c r="P160" s="37"/>
      <c r="Q160" s="37"/>
      <c r="R160" s="37"/>
      <c r="S160" s="37"/>
      <c r="T160" s="37"/>
      <c r="U160" s="37"/>
      <c r="V160" s="39">
        <v>0</v>
      </c>
    </row>
    <row r="161" spans="1:22" s="40" customFormat="1" ht="13.5" thickBot="1">
      <c r="A161" s="60" t="s">
        <v>32</v>
      </c>
      <c r="B161" s="61"/>
      <c r="C161" s="62"/>
      <c r="D161" s="62"/>
      <c r="E161" s="62"/>
      <c r="F161" s="62"/>
      <c r="G161" s="62"/>
      <c r="H161" s="63">
        <v>0</v>
      </c>
      <c r="I161" s="438" t="s">
        <v>221</v>
      </c>
      <c r="J161" s="439"/>
      <c r="K161" s="439"/>
      <c r="L161" s="439"/>
      <c r="M161" s="439"/>
      <c r="N161" s="439"/>
      <c r="O161" s="439"/>
      <c r="P161" s="439"/>
      <c r="Q161" s="439"/>
      <c r="R161" s="439"/>
      <c r="S161" s="439"/>
      <c r="T161" s="439"/>
      <c r="U161" s="440"/>
      <c r="V161" s="64">
        <v>150</v>
      </c>
    </row>
    <row r="162" ht="12.75">
      <c r="A162" s="65"/>
    </row>
    <row r="163" spans="1:24" ht="18.75" thickBot="1">
      <c r="A163" s="461" t="s">
        <v>145</v>
      </c>
      <c r="B163" s="461"/>
      <c r="C163" s="461"/>
      <c r="D163" s="461"/>
      <c r="E163" s="461"/>
      <c r="F163" s="461"/>
      <c r="G163" s="461"/>
      <c r="H163" s="461"/>
      <c r="I163" s="461"/>
      <c r="J163" s="461"/>
      <c r="K163" s="461"/>
      <c r="L163" s="461"/>
      <c r="M163" s="461"/>
      <c r="N163" s="461"/>
      <c r="O163" s="461"/>
      <c r="P163" s="461"/>
      <c r="Q163" s="461"/>
      <c r="R163" s="461"/>
      <c r="S163" s="461"/>
      <c r="T163" s="461"/>
      <c r="U163" s="461"/>
      <c r="V163" s="461"/>
      <c r="X163" s="66"/>
    </row>
    <row r="164" spans="1:34" ht="22.5">
      <c r="A164" s="18" t="s">
        <v>0</v>
      </c>
      <c r="B164" s="139" t="s">
        <v>86</v>
      </c>
      <c r="C164" s="139"/>
      <c r="D164" s="139"/>
      <c r="E164" s="139"/>
      <c r="F164" s="139"/>
      <c r="G164" s="140"/>
      <c r="H164" s="19" t="s">
        <v>29</v>
      </c>
      <c r="I164" s="462" t="s">
        <v>85</v>
      </c>
      <c r="J164" s="463"/>
      <c r="K164" s="463"/>
      <c r="L164" s="463"/>
      <c r="M164" s="463"/>
      <c r="N164" s="463"/>
      <c r="O164" s="463"/>
      <c r="P164" s="463"/>
      <c r="Q164" s="463"/>
      <c r="R164" s="463"/>
      <c r="S164" s="463"/>
      <c r="T164" s="463"/>
      <c r="U164" s="464"/>
      <c r="V164" s="20" t="s">
        <v>29</v>
      </c>
      <c r="W164" s="16"/>
      <c r="X164" s="17"/>
      <c r="Y164" s="489"/>
      <c r="Z164" s="490"/>
      <c r="AC164" s="17"/>
      <c r="AH164" s="17"/>
    </row>
    <row r="165" spans="1:34" ht="13.5" thickBot="1">
      <c r="A165" s="21"/>
      <c r="B165" s="22" t="s">
        <v>61</v>
      </c>
      <c r="C165" s="22"/>
      <c r="D165" s="22"/>
      <c r="E165" s="22"/>
      <c r="F165" s="22"/>
      <c r="G165" s="23"/>
      <c r="H165" s="24" t="s">
        <v>62</v>
      </c>
      <c r="I165" s="465"/>
      <c r="J165" s="466"/>
      <c r="K165" s="466"/>
      <c r="L165" s="466"/>
      <c r="M165" s="466"/>
      <c r="N165" s="466"/>
      <c r="O165" s="466"/>
      <c r="P165" s="466"/>
      <c r="Q165" s="466"/>
      <c r="R165" s="466"/>
      <c r="S165" s="466"/>
      <c r="T165" s="466"/>
      <c r="U165" s="467"/>
      <c r="V165" s="25" t="s">
        <v>63</v>
      </c>
      <c r="W165" s="16"/>
      <c r="X165" s="17"/>
      <c r="Y165" s="489"/>
      <c r="Z165" s="490"/>
      <c r="AC165" s="17"/>
      <c r="AH165" s="17"/>
    </row>
    <row r="166" spans="1:23" ht="13.5" thickBot="1">
      <c r="A166" s="26" t="s">
        <v>66</v>
      </c>
      <c r="B166" s="27"/>
      <c r="C166" s="28"/>
      <c r="D166" s="28"/>
      <c r="E166" s="28"/>
      <c r="F166" s="28"/>
      <c r="G166" s="28"/>
      <c r="H166" s="29">
        <f>SUM(H167:H191)</f>
        <v>7457</v>
      </c>
      <c r="I166" s="27"/>
      <c r="J166" s="28"/>
      <c r="K166" s="28"/>
      <c r="L166" s="28"/>
      <c r="M166" s="28"/>
      <c r="N166" s="28"/>
      <c r="O166" s="28"/>
      <c r="P166" s="28"/>
      <c r="Q166" s="28"/>
      <c r="R166" s="28"/>
      <c r="S166" s="28"/>
      <c r="T166" s="28"/>
      <c r="U166" s="28"/>
      <c r="V166" s="29">
        <f>SUM(I167+V167+V169+V170+V171+V172+V174+V176+V177+V178+V179+V180+V181+V182+V183+V184+V185+V186+V187+V188+V189+V190+V191)</f>
        <v>8212</v>
      </c>
      <c r="W166" s="67"/>
    </row>
    <row r="167" spans="1:22" s="40" customFormat="1" ht="12.75">
      <c r="A167" s="478" t="s">
        <v>115</v>
      </c>
      <c r="B167" s="479" t="s">
        <v>174</v>
      </c>
      <c r="C167" s="480"/>
      <c r="D167" s="480"/>
      <c r="E167" s="480"/>
      <c r="F167" s="480"/>
      <c r="G167" s="481"/>
      <c r="H167" s="517">
        <f>370+45</f>
        <v>415</v>
      </c>
      <c r="I167" s="513"/>
      <c r="J167" s="513"/>
      <c r="K167" s="513"/>
      <c r="L167" s="513"/>
      <c r="M167" s="513"/>
      <c r="N167" s="513"/>
      <c r="O167" s="513"/>
      <c r="P167" s="513"/>
      <c r="Q167" s="513"/>
      <c r="R167" s="513"/>
      <c r="S167" s="513"/>
      <c r="T167" s="513"/>
      <c r="U167" s="514"/>
      <c r="V167" s="511">
        <v>0</v>
      </c>
    </row>
    <row r="168" spans="1:22" s="40" customFormat="1" ht="7.5" customHeight="1">
      <c r="A168" s="451"/>
      <c r="B168" s="447"/>
      <c r="C168" s="448"/>
      <c r="D168" s="448"/>
      <c r="E168" s="448"/>
      <c r="F168" s="448"/>
      <c r="G168" s="449"/>
      <c r="H168" s="453"/>
      <c r="I168" s="515"/>
      <c r="J168" s="515"/>
      <c r="K168" s="515"/>
      <c r="L168" s="515"/>
      <c r="M168" s="515"/>
      <c r="N168" s="515"/>
      <c r="O168" s="515"/>
      <c r="P168" s="515"/>
      <c r="Q168" s="515"/>
      <c r="R168" s="515"/>
      <c r="S168" s="515"/>
      <c r="T168" s="515"/>
      <c r="U168" s="516"/>
      <c r="V168" s="512"/>
    </row>
    <row r="169" spans="1:22" s="40" customFormat="1" ht="22.5" customHeight="1">
      <c r="A169" s="50" t="s">
        <v>116</v>
      </c>
      <c r="B169" s="68" t="s">
        <v>195</v>
      </c>
      <c r="C169" s="69"/>
      <c r="D169" s="69"/>
      <c r="E169" s="69"/>
      <c r="F169" s="69"/>
      <c r="G169" s="69"/>
      <c r="H169" s="70">
        <v>200</v>
      </c>
      <c r="I169" s="68" t="s">
        <v>175</v>
      </c>
      <c r="J169" s="69"/>
      <c r="K169" s="69"/>
      <c r="L169" s="69"/>
      <c r="M169" s="69"/>
      <c r="N169" s="69"/>
      <c r="O169" s="69"/>
      <c r="P169" s="69"/>
      <c r="Q169" s="69"/>
      <c r="R169" s="69"/>
      <c r="S169" s="69"/>
      <c r="T169" s="69"/>
      <c r="U169" s="69"/>
      <c r="V169" s="59">
        <f>800</f>
        <v>800</v>
      </c>
    </row>
    <row r="170" spans="1:22" s="40" customFormat="1" ht="22.5">
      <c r="A170" s="31" t="s">
        <v>117</v>
      </c>
      <c r="B170" s="36"/>
      <c r="C170" s="43"/>
      <c r="D170" s="37"/>
      <c r="E170" s="37"/>
      <c r="F170" s="37"/>
      <c r="G170" s="37"/>
      <c r="H170" s="38">
        <v>0</v>
      </c>
      <c r="I170" s="36" t="s">
        <v>176</v>
      </c>
      <c r="J170" s="37"/>
      <c r="K170" s="37"/>
      <c r="L170" s="37"/>
      <c r="M170" s="37"/>
      <c r="N170" s="37"/>
      <c r="O170" s="37"/>
      <c r="P170" s="37"/>
      <c r="Q170" s="37"/>
      <c r="R170" s="37"/>
      <c r="S170" s="37"/>
      <c r="T170" s="37"/>
      <c r="U170" s="37"/>
      <c r="V170" s="39">
        <v>60</v>
      </c>
    </row>
    <row r="171" spans="1:22" s="40" customFormat="1" ht="23.25" customHeight="1">
      <c r="A171" s="57" t="s">
        <v>118</v>
      </c>
      <c r="B171" s="36"/>
      <c r="C171" s="37"/>
      <c r="D171" s="37"/>
      <c r="E171" s="37"/>
      <c r="F171" s="37"/>
      <c r="G171" s="37"/>
      <c r="H171" s="38">
        <v>0</v>
      </c>
      <c r="I171" s="36" t="s">
        <v>177</v>
      </c>
      <c r="J171" s="37"/>
      <c r="K171" s="37"/>
      <c r="L171" s="37"/>
      <c r="M171" s="37"/>
      <c r="N171" s="37"/>
      <c r="O171" s="37"/>
      <c r="P171" s="37"/>
      <c r="Q171" s="37"/>
      <c r="R171" s="37"/>
      <c r="S171" s="37"/>
      <c r="T171" s="37"/>
      <c r="U171" s="37"/>
      <c r="V171" s="58">
        <v>200</v>
      </c>
    </row>
    <row r="172" spans="1:26" s="40" customFormat="1" ht="12.75" customHeight="1">
      <c r="A172" s="508" t="s">
        <v>119</v>
      </c>
      <c r="B172" s="435" t="s">
        <v>179</v>
      </c>
      <c r="C172" s="497"/>
      <c r="D172" s="497"/>
      <c r="E172" s="497"/>
      <c r="F172" s="497"/>
      <c r="G172" s="498"/>
      <c r="H172" s="487">
        <v>484</v>
      </c>
      <c r="I172" s="435" t="s">
        <v>178</v>
      </c>
      <c r="J172" s="497"/>
      <c r="K172" s="497"/>
      <c r="L172" s="497"/>
      <c r="M172" s="497"/>
      <c r="N172" s="497"/>
      <c r="O172" s="497"/>
      <c r="P172" s="497"/>
      <c r="Q172" s="497"/>
      <c r="R172" s="497"/>
      <c r="S172" s="497"/>
      <c r="T172" s="497"/>
      <c r="U172" s="497"/>
      <c r="V172" s="510">
        <v>1304</v>
      </c>
      <c r="W172" s="8"/>
      <c r="X172" s="8"/>
      <c r="Y172" s="8"/>
      <c r="Z172" s="8"/>
    </row>
    <row r="173" spans="1:26" s="40" customFormat="1" ht="33.75" customHeight="1">
      <c r="A173" s="451"/>
      <c r="B173" s="519"/>
      <c r="C173" s="520"/>
      <c r="D173" s="520"/>
      <c r="E173" s="520"/>
      <c r="F173" s="520"/>
      <c r="G173" s="521"/>
      <c r="H173" s="488"/>
      <c r="I173" s="519"/>
      <c r="J173" s="520"/>
      <c r="K173" s="520"/>
      <c r="L173" s="520"/>
      <c r="M173" s="520"/>
      <c r="N173" s="520"/>
      <c r="O173" s="520"/>
      <c r="P173" s="520"/>
      <c r="Q173" s="520"/>
      <c r="R173" s="520"/>
      <c r="S173" s="520"/>
      <c r="T173" s="520"/>
      <c r="U173" s="520"/>
      <c r="V173" s="453"/>
      <c r="W173" s="8"/>
      <c r="X173" s="8"/>
      <c r="Y173" s="8"/>
      <c r="Z173" s="8"/>
    </row>
    <row r="174" spans="1:22" s="40" customFormat="1" ht="12.75">
      <c r="A174" s="485" t="s">
        <v>120</v>
      </c>
      <c r="B174" s="435" t="s">
        <v>180</v>
      </c>
      <c r="C174" s="436"/>
      <c r="D174" s="436"/>
      <c r="E174" s="436"/>
      <c r="F174" s="436"/>
      <c r="G174" s="437"/>
      <c r="H174" s="452">
        <v>750</v>
      </c>
      <c r="I174" s="644"/>
      <c r="J174" s="652"/>
      <c r="K174" s="652"/>
      <c r="L174" s="652"/>
      <c r="M174" s="652"/>
      <c r="N174" s="652"/>
      <c r="O174" s="652"/>
      <c r="P174" s="652"/>
      <c r="Q174" s="652"/>
      <c r="R174" s="652"/>
      <c r="S174" s="652"/>
      <c r="T174" s="652"/>
      <c r="U174" s="653"/>
      <c r="V174" s="487">
        <v>0</v>
      </c>
    </row>
    <row r="175" spans="1:22" s="40" customFormat="1" ht="39.75" customHeight="1">
      <c r="A175" s="518"/>
      <c r="B175" s="447"/>
      <c r="C175" s="448"/>
      <c r="D175" s="448"/>
      <c r="E175" s="448"/>
      <c r="F175" s="448"/>
      <c r="G175" s="449"/>
      <c r="H175" s="460"/>
      <c r="I175" s="654"/>
      <c r="J175" s="617"/>
      <c r="K175" s="617"/>
      <c r="L175" s="617"/>
      <c r="M175" s="617"/>
      <c r="N175" s="617"/>
      <c r="O175" s="617"/>
      <c r="P175" s="617"/>
      <c r="Q175" s="617"/>
      <c r="R175" s="617"/>
      <c r="S175" s="617"/>
      <c r="T175" s="617"/>
      <c r="U175" s="618"/>
      <c r="V175" s="512"/>
    </row>
    <row r="176" spans="1:22" s="40" customFormat="1" ht="22.5">
      <c r="A176" s="31" t="s">
        <v>121</v>
      </c>
      <c r="B176" s="36"/>
      <c r="C176" s="37"/>
      <c r="D176" s="37"/>
      <c r="E176" s="37"/>
      <c r="F176" s="37"/>
      <c r="G176" s="37"/>
      <c r="H176" s="38">
        <v>0</v>
      </c>
      <c r="I176" s="36"/>
      <c r="J176" s="37"/>
      <c r="K176" s="37"/>
      <c r="L176" s="37"/>
      <c r="M176" s="37"/>
      <c r="N176" s="37"/>
      <c r="O176" s="37"/>
      <c r="P176" s="37"/>
      <c r="Q176" s="37"/>
      <c r="R176" s="37"/>
      <c r="S176" s="37"/>
      <c r="T176" s="37"/>
      <c r="U176" s="37"/>
      <c r="V176" s="39">
        <v>0</v>
      </c>
    </row>
    <row r="177" spans="1:22" ht="33.75" customHeight="1">
      <c r="A177" s="56" t="s">
        <v>53</v>
      </c>
      <c r="B177" s="435" t="s">
        <v>181</v>
      </c>
      <c r="C177" s="436"/>
      <c r="D177" s="436"/>
      <c r="E177" s="436"/>
      <c r="F177" s="436"/>
      <c r="G177" s="437"/>
      <c r="H177" s="72">
        <v>343</v>
      </c>
      <c r="I177" s="68"/>
      <c r="J177" s="73"/>
      <c r="K177" s="73"/>
      <c r="L177" s="73"/>
      <c r="M177" s="73"/>
      <c r="N177" s="73"/>
      <c r="O177" s="73"/>
      <c r="P177" s="73"/>
      <c r="Q177" s="73"/>
      <c r="R177" s="73"/>
      <c r="S177" s="73"/>
      <c r="T177" s="73"/>
      <c r="U177" s="73"/>
      <c r="V177" s="74">
        <v>0</v>
      </c>
    </row>
    <row r="178" spans="1:47" ht="12.75" customHeight="1">
      <c r="A178" s="450" t="s">
        <v>83</v>
      </c>
      <c r="B178" s="454"/>
      <c r="C178" s="455"/>
      <c r="D178" s="455"/>
      <c r="E178" s="455"/>
      <c r="F178" s="455"/>
      <c r="G178" s="456"/>
      <c r="H178" s="468">
        <v>0</v>
      </c>
      <c r="I178" s="585" t="s">
        <v>222</v>
      </c>
      <c r="J178" s="631"/>
      <c r="K178" s="631"/>
      <c r="L178" s="631"/>
      <c r="M178" s="631"/>
      <c r="N178" s="631"/>
      <c r="O178" s="631"/>
      <c r="P178" s="631"/>
      <c r="Q178" s="631"/>
      <c r="R178" s="631"/>
      <c r="S178" s="631"/>
      <c r="T178" s="631"/>
      <c r="U178" s="631"/>
      <c r="V178" s="468">
        <v>2530</v>
      </c>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row>
    <row r="179" spans="1:22" ht="29.25" customHeight="1">
      <c r="A179" s="451"/>
      <c r="B179" s="457"/>
      <c r="C179" s="458"/>
      <c r="D179" s="458"/>
      <c r="E179" s="458"/>
      <c r="F179" s="458"/>
      <c r="G179" s="459"/>
      <c r="H179" s="469"/>
      <c r="I179" s="678"/>
      <c r="J179" s="679"/>
      <c r="K179" s="679"/>
      <c r="L179" s="679"/>
      <c r="M179" s="679"/>
      <c r="N179" s="679"/>
      <c r="O179" s="679"/>
      <c r="P179" s="679"/>
      <c r="Q179" s="679"/>
      <c r="R179" s="679"/>
      <c r="S179" s="679"/>
      <c r="T179" s="679"/>
      <c r="U179" s="679"/>
      <c r="V179" s="469"/>
    </row>
    <row r="180" spans="1:22" s="40" customFormat="1" ht="12.75" customHeight="1">
      <c r="A180" s="450" t="s">
        <v>127</v>
      </c>
      <c r="B180" s="435"/>
      <c r="C180" s="436"/>
      <c r="D180" s="436"/>
      <c r="E180" s="436"/>
      <c r="F180" s="436"/>
      <c r="G180" s="437"/>
      <c r="H180" s="452">
        <v>0</v>
      </c>
      <c r="I180" s="644" t="s">
        <v>182</v>
      </c>
      <c r="J180" s="645"/>
      <c r="K180" s="645"/>
      <c r="L180" s="645"/>
      <c r="M180" s="645"/>
      <c r="N180" s="645"/>
      <c r="O180" s="645"/>
      <c r="P180" s="645"/>
      <c r="Q180" s="645"/>
      <c r="R180" s="645"/>
      <c r="S180" s="645"/>
      <c r="T180" s="645"/>
      <c r="U180" s="646"/>
      <c r="V180" s="487">
        <v>130</v>
      </c>
    </row>
    <row r="181" spans="1:22" s="40" customFormat="1" ht="12.75" customHeight="1">
      <c r="A181" s="451"/>
      <c r="B181" s="447"/>
      <c r="C181" s="448"/>
      <c r="D181" s="448"/>
      <c r="E181" s="448"/>
      <c r="F181" s="448"/>
      <c r="G181" s="449"/>
      <c r="H181" s="453"/>
      <c r="I181" s="616"/>
      <c r="J181" s="647"/>
      <c r="K181" s="647"/>
      <c r="L181" s="647"/>
      <c r="M181" s="647"/>
      <c r="N181" s="647"/>
      <c r="O181" s="647"/>
      <c r="P181" s="647"/>
      <c r="Q181" s="647"/>
      <c r="R181" s="647"/>
      <c r="S181" s="647"/>
      <c r="T181" s="647"/>
      <c r="U181" s="648"/>
      <c r="V181" s="512"/>
    </row>
    <row r="182" spans="1:22" s="40" customFormat="1" ht="102.75" customHeight="1">
      <c r="A182" s="57" t="s">
        <v>67</v>
      </c>
      <c r="B182" s="641" t="s">
        <v>197</v>
      </c>
      <c r="C182" s="642"/>
      <c r="D182" s="642"/>
      <c r="E182" s="642"/>
      <c r="F182" s="642"/>
      <c r="G182" s="642"/>
      <c r="H182" s="153">
        <v>1505</v>
      </c>
      <c r="I182" s="669" t="s">
        <v>183</v>
      </c>
      <c r="J182" s="669"/>
      <c r="K182" s="669"/>
      <c r="L182" s="669"/>
      <c r="M182" s="669"/>
      <c r="N182" s="669"/>
      <c r="O182" s="669"/>
      <c r="P182" s="669"/>
      <c r="Q182" s="669"/>
      <c r="R182" s="669"/>
      <c r="S182" s="669"/>
      <c r="T182" s="669"/>
      <c r="U182" s="670"/>
      <c r="V182" s="39">
        <v>300</v>
      </c>
    </row>
    <row r="183" spans="1:22" s="40" customFormat="1" ht="12.75">
      <c r="A183" s="450" t="s">
        <v>122</v>
      </c>
      <c r="B183" s="435" t="s">
        <v>196</v>
      </c>
      <c r="C183" s="497"/>
      <c r="D183" s="497"/>
      <c r="E183" s="497"/>
      <c r="F183" s="497"/>
      <c r="G183" s="498"/>
      <c r="H183" s="487">
        <f>260+2300</f>
        <v>2560</v>
      </c>
      <c r="I183" s="435" t="s">
        <v>184</v>
      </c>
      <c r="J183" s="436"/>
      <c r="K183" s="436"/>
      <c r="L183" s="436"/>
      <c r="M183" s="436"/>
      <c r="N183" s="436"/>
      <c r="O183" s="436"/>
      <c r="P183" s="436"/>
      <c r="Q183" s="436"/>
      <c r="R183" s="436"/>
      <c r="S183" s="436"/>
      <c r="T183" s="436"/>
      <c r="U183" s="437"/>
      <c r="V183" s="487">
        <v>363</v>
      </c>
    </row>
    <row r="184" spans="1:22" s="40" customFormat="1" ht="109.5" customHeight="1">
      <c r="A184" s="451"/>
      <c r="B184" s="519"/>
      <c r="C184" s="520"/>
      <c r="D184" s="520"/>
      <c r="E184" s="520"/>
      <c r="F184" s="520"/>
      <c r="G184" s="521"/>
      <c r="H184" s="488"/>
      <c r="I184" s="447"/>
      <c r="J184" s="448"/>
      <c r="K184" s="448"/>
      <c r="L184" s="448"/>
      <c r="M184" s="448"/>
      <c r="N184" s="448"/>
      <c r="O184" s="448"/>
      <c r="P184" s="448"/>
      <c r="Q184" s="448"/>
      <c r="R184" s="448"/>
      <c r="S184" s="448"/>
      <c r="T184" s="448"/>
      <c r="U184" s="449"/>
      <c r="V184" s="512"/>
    </row>
    <row r="185" spans="1:22" ht="12.75" customHeight="1">
      <c r="A185" s="450" t="s">
        <v>123</v>
      </c>
      <c r="B185" s="470"/>
      <c r="C185" s="471"/>
      <c r="D185" s="471"/>
      <c r="E185" s="471"/>
      <c r="F185" s="471"/>
      <c r="G185" s="472"/>
      <c r="H185" s="628">
        <v>0</v>
      </c>
      <c r="I185" s="435" t="s">
        <v>185</v>
      </c>
      <c r="J185" s="436"/>
      <c r="K185" s="436"/>
      <c r="L185" s="436"/>
      <c r="M185" s="436"/>
      <c r="N185" s="436"/>
      <c r="O185" s="436"/>
      <c r="P185" s="436"/>
      <c r="Q185" s="436"/>
      <c r="R185" s="436"/>
      <c r="S185" s="436"/>
      <c r="T185" s="436"/>
      <c r="U185" s="437"/>
      <c r="V185" s="628">
        <v>620</v>
      </c>
    </row>
    <row r="186" spans="1:22" ht="12" customHeight="1">
      <c r="A186" s="451"/>
      <c r="B186" s="473"/>
      <c r="C186" s="474"/>
      <c r="D186" s="474"/>
      <c r="E186" s="474"/>
      <c r="F186" s="474"/>
      <c r="G186" s="475"/>
      <c r="H186" s="643"/>
      <c r="I186" s="447"/>
      <c r="J186" s="448"/>
      <c r="K186" s="448"/>
      <c r="L186" s="448"/>
      <c r="M186" s="448"/>
      <c r="N186" s="448"/>
      <c r="O186" s="448"/>
      <c r="P186" s="448"/>
      <c r="Q186" s="448"/>
      <c r="R186" s="448"/>
      <c r="S186" s="448"/>
      <c r="T186" s="448"/>
      <c r="U186" s="449"/>
      <c r="V186" s="512"/>
    </row>
    <row r="187" spans="1:22" s="40" customFormat="1" ht="18.75" customHeight="1">
      <c r="A187" s="50" t="s">
        <v>124</v>
      </c>
      <c r="B187" s="616" t="s">
        <v>186</v>
      </c>
      <c r="C187" s="617"/>
      <c r="D187" s="617"/>
      <c r="E187" s="617"/>
      <c r="F187" s="617"/>
      <c r="G187" s="618"/>
      <c r="H187" s="70">
        <v>700</v>
      </c>
      <c r="I187" s="68" t="s">
        <v>187</v>
      </c>
      <c r="J187" s="69"/>
      <c r="K187" s="69"/>
      <c r="L187" s="69"/>
      <c r="M187" s="69"/>
      <c r="N187" s="69"/>
      <c r="O187" s="69"/>
      <c r="P187" s="69"/>
      <c r="Q187" s="69"/>
      <c r="R187" s="69"/>
      <c r="S187" s="69"/>
      <c r="T187" s="69"/>
      <c r="U187" s="69"/>
      <c r="V187" s="59">
        <v>835</v>
      </c>
    </row>
    <row r="188" spans="1:22" s="40" customFormat="1" ht="31.5" customHeight="1">
      <c r="A188" s="31" t="s">
        <v>128</v>
      </c>
      <c r="B188" s="444" t="s">
        <v>189</v>
      </c>
      <c r="C188" s="445"/>
      <c r="D188" s="445"/>
      <c r="E188" s="445"/>
      <c r="F188" s="445"/>
      <c r="G188" s="446"/>
      <c r="H188" s="38">
        <f>300+200</f>
        <v>500</v>
      </c>
      <c r="I188" s="593" t="s">
        <v>188</v>
      </c>
      <c r="J188" s="639"/>
      <c r="K188" s="639"/>
      <c r="L188" s="639"/>
      <c r="M188" s="639"/>
      <c r="N188" s="639"/>
      <c r="O188" s="639"/>
      <c r="P188" s="639"/>
      <c r="Q188" s="639"/>
      <c r="R188" s="639"/>
      <c r="S188" s="639"/>
      <c r="T188" s="639"/>
      <c r="U188" s="640"/>
      <c r="V188" s="39">
        <v>420</v>
      </c>
    </row>
    <row r="189" spans="1:22" s="40" customFormat="1" ht="12.75" customHeight="1">
      <c r="A189" s="450" t="s">
        <v>125</v>
      </c>
      <c r="B189" s="470"/>
      <c r="C189" s="471"/>
      <c r="D189" s="471"/>
      <c r="E189" s="471"/>
      <c r="F189" s="471"/>
      <c r="G189" s="472"/>
      <c r="H189" s="628">
        <v>0</v>
      </c>
      <c r="I189" s="671" t="s">
        <v>190</v>
      </c>
      <c r="J189" s="672"/>
      <c r="K189" s="672"/>
      <c r="L189" s="672"/>
      <c r="M189" s="672"/>
      <c r="N189" s="672"/>
      <c r="O189" s="672"/>
      <c r="P189" s="672"/>
      <c r="Q189" s="672"/>
      <c r="R189" s="672"/>
      <c r="S189" s="672"/>
      <c r="T189" s="672"/>
      <c r="U189" s="673"/>
      <c r="V189" s="550">
        <v>650</v>
      </c>
    </row>
    <row r="190" spans="1:22" s="40" customFormat="1" ht="12.75" customHeight="1">
      <c r="A190" s="451"/>
      <c r="B190" s="473"/>
      <c r="C190" s="474"/>
      <c r="D190" s="474"/>
      <c r="E190" s="474"/>
      <c r="F190" s="474"/>
      <c r="G190" s="475"/>
      <c r="H190" s="643"/>
      <c r="I190" s="674"/>
      <c r="J190" s="675"/>
      <c r="K190" s="675"/>
      <c r="L190" s="675"/>
      <c r="M190" s="675"/>
      <c r="N190" s="675"/>
      <c r="O190" s="675"/>
      <c r="P190" s="675"/>
      <c r="Q190" s="675"/>
      <c r="R190" s="675"/>
      <c r="S190" s="675"/>
      <c r="T190" s="675"/>
      <c r="U190" s="676"/>
      <c r="V190" s="677"/>
    </row>
    <row r="191" spans="1:22" s="40" customFormat="1" ht="23.25" thickBot="1">
      <c r="A191" s="31" t="s">
        <v>126</v>
      </c>
      <c r="B191" s="36"/>
      <c r="C191" s="37"/>
      <c r="D191" s="37"/>
      <c r="E191" s="37"/>
      <c r="F191" s="37"/>
      <c r="G191" s="37"/>
      <c r="H191" s="38">
        <v>0</v>
      </c>
      <c r="I191" s="36"/>
      <c r="J191" s="37"/>
      <c r="K191" s="37"/>
      <c r="L191" s="37"/>
      <c r="M191" s="37"/>
      <c r="N191" s="37"/>
      <c r="O191" s="37"/>
      <c r="P191" s="37"/>
      <c r="Q191" s="37"/>
      <c r="R191" s="37"/>
      <c r="S191" s="37"/>
      <c r="T191" s="37"/>
      <c r="U191" s="37"/>
      <c r="V191" s="39">
        <v>0</v>
      </c>
    </row>
    <row r="192" spans="1:22" ht="13.5" thickBot="1">
      <c r="A192" s="26" t="s">
        <v>68</v>
      </c>
      <c r="B192" s="27"/>
      <c r="C192" s="28"/>
      <c r="D192" s="28"/>
      <c r="E192" s="28"/>
      <c r="F192" s="28"/>
      <c r="G192" s="28"/>
      <c r="H192" s="29">
        <f>SUM(H193:H216)</f>
        <v>6018</v>
      </c>
      <c r="I192" s="30"/>
      <c r="J192" s="28"/>
      <c r="K192" s="28"/>
      <c r="L192" s="28"/>
      <c r="M192" s="28"/>
      <c r="N192" s="28"/>
      <c r="O192" s="28"/>
      <c r="P192" s="28"/>
      <c r="Q192" s="28"/>
      <c r="R192" s="28"/>
      <c r="S192" s="28"/>
      <c r="T192" s="28"/>
      <c r="U192" s="28"/>
      <c r="V192" s="29">
        <f>SUM(V193:V216)</f>
        <v>11086</v>
      </c>
    </row>
    <row r="193" spans="1:22" s="40" customFormat="1" ht="12.75" customHeight="1">
      <c r="A193" s="478" t="s">
        <v>69</v>
      </c>
      <c r="B193" s="479" t="s">
        <v>152</v>
      </c>
      <c r="C193" s="480"/>
      <c r="D193" s="480"/>
      <c r="E193" s="480"/>
      <c r="F193" s="480"/>
      <c r="G193" s="481"/>
      <c r="H193" s="629">
        <v>100</v>
      </c>
      <c r="I193" s="479" t="s">
        <v>157</v>
      </c>
      <c r="J193" s="480"/>
      <c r="K193" s="480"/>
      <c r="L193" s="480"/>
      <c r="M193" s="480"/>
      <c r="N193" s="480"/>
      <c r="O193" s="480"/>
      <c r="P193" s="480"/>
      <c r="Q193" s="480"/>
      <c r="R193" s="480"/>
      <c r="S193" s="480"/>
      <c r="T193" s="480"/>
      <c r="U193" s="481"/>
      <c r="V193" s="624">
        <v>660</v>
      </c>
    </row>
    <row r="194" spans="1:22" s="40" customFormat="1" ht="19.5" customHeight="1">
      <c r="A194" s="451"/>
      <c r="B194" s="482"/>
      <c r="C194" s="483"/>
      <c r="D194" s="483"/>
      <c r="E194" s="483"/>
      <c r="F194" s="483"/>
      <c r="G194" s="484"/>
      <c r="H194" s="630"/>
      <c r="I194" s="447"/>
      <c r="J194" s="448"/>
      <c r="K194" s="448"/>
      <c r="L194" s="448"/>
      <c r="M194" s="448"/>
      <c r="N194" s="448"/>
      <c r="O194" s="448"/>
      <c r="P194" s="448"/>
      <c r="Q194" s="448"/>
      <c r="R194" s="448"/>
      <c r="S194" s="448"/>
      <c r="T194" s="448"/>
      <c r="U194" s="449"/>
      <c r="V194" s="625"/>
    </row>
    <row r="195" spans="1:22" s="40" customFormat="1" ht="12.75" customHeight="1">
      <c r="A195" s="141" t="s">
        <v>84</v>
      </c>
      <c r="B195" s="444" t="s">
        <v>199</v>
      </c>
      <c r="C195" s="445"/>
      <c r="D195" s="445"/>
      <c r="E195" s="445"/>
      <c r="F195" s="445"/>
      <c r="G195" s="446"/>
      <c r="H195" s="70">
        <v>550</v>
      </c>
      <c r="I195" s="593" t="s">
        <v>153</v>
      </c>
      <c r="J195" s="626"/>
      <c r="K195" s="626"/>
      <c r="L195" s="626"/>
      <c r="M195" s="626"/>
      <c r="N195" s="626"/>
      <c r="O195" s="626"/>
      <c r="P195" s="626"/>
      <c r="Q195" s="626"/>
      <c r="R195" s="626"/>
      <c r="S195" s="626"/>
      <c r="T195" s="626"/>
      <c r="U195" s="627"/>
      <c r="V195" s="59">
        <f>340+250</f>
        <v>590</v>
      </c>
    </row>
    <row r="196" spans="1:22" s="40" customFormat="1" ht="12.75" customHeight="1">
      <c r="A196" s="450" t="s">
        <v>94</v>
      </c>
      <c r="B196" s="435" t="s">
        <v>154</v>
      </c>
      <c r="C196" s="497"/>
      <c r="D196" s="497"/>
      <c r="E196" s="497"/>
      <c r="F196" s="497"/>
      <c r="G196" s="498"/>
      <c r="H196" s="505">
        <f>220+100+500+100+150</f>
        <v>1070</v>
      </c>
      <c r="I196" s="585" t="s">
        <v>223</v>
      </c>
      <c r="J196" s="631"/>
      <c r="K196" s="631"/>
      <c r="L196" s="631"/>
      <c r="M196" s="631"/>
      <c r="N196" s="631"/>
      <c r="O196" s="631"/>
      <c r="P196" s="631"/>
      <c r="Q196" s="631"/>
      <c r="R196" s="631"/>
      <c r="S196" s="631"/>
      <c r="T196" s="631"/>
      <c r="U196" s="632"/>
      <c r="V196" s="505">
        <f>380+100</f>
        <v>480</v>
      </c>
    </row>
    <row r="197" spans="1:22" s="40" customFormat="1" ht="12.75" customHeight="1">
      <c r="A197" s="508"/>
      <c r="B197" s="499"/>
      <c r="C197" s="500"/>
      <c r="D197" s="500"/>
      <c r="E197" s="500"/>
      <c r="F197" s="500"/>
      <c r="G197" s="501"/>
      <c r="H197" s="506"/>
      <c r="I197" s="633"/>
      <c r="J197" s="634"/>
      <c r="K197" s="634"/>
      <c r="L197" s="634"/>
      <c r="M197" s="634"/>
      <c r="N197" s="634"/>
      <c r="O197" s="634"/>
      <c r="P197" s="634"/>
      <c r="Q197" s="634"/>
      <c r="R197" s="634"/>
      <c r="S197" s="634"/>
      <c r="T197" s="634"/>
      <c r="U197" s="635"/>
      <c r="V197" s="506"/>
    </row>
    <row r="198" spans="1:22" s="40" customFormat="1" ht="32.25" customHeight="1" thickBot="1">
      <c r="A198" s="509"/>
      <c r="B198" s="502"/>
      <c r="C198" s="503"/>
      <c r="D198" s="503"/>
      <c r="E198" s="503"/>
      <c r="F198" s="503"/>
      <c r="G198" s="504"/>
      <c r="H198" s="507"/>
      <c r="I198" s="636"/>
      <c r="J198" s="637"/>
      <c r="K198" s="637"/>
      <c r="L198" s="637"/>
      <c r="M198" s="637"/>
      <c r="N198" s="637"/>
      <c r="O198" s="637"/>
      <c r="P198" s="637"/>
      <c r="Q198" s="637"/>
      <c r="R198" s="637"/>
      <c r="S198" s="637"/>
      <c r="T198" s="637"/>
      <c r="U198" s="638"/>
      <c r="V198" s="507"/>
    </row>
    <row r="199" spans="1:22" s="86" customFormat="1" ht="6.75" customHeight="1">
      <c r="A199" s="81"/>
      <c r="B199" s="82"/>
      <c r="C199" s="79"/>
      <c r="D199" s="79"/>
      <c r="E199" s="79"/>
      <c r="F199" s="79"/>
      <c r="G199" s="79"/>
      <c r="H199" s="83"/>
      <c r="I199" s="84"/>
      <c r="J199" s="79"/>
      <c r="K199" s="79"/>
      <c r="L199" s="79"/>
      <c r="M199" s="79"/>
      <c r="N199" s="79"/>
      <c r="O199" s="79"/>
      <c r="P199" s="79"/>
      <c r="Q199" s="79"/>
      <c r="R199" s="79"/>
      <c r="S199" s="79"/>
      <c r="T199" s="79"/>
      <c r="U199" s="79"/>
      <c r="V199" s="85"/>
    </row>
    <row r="200" spans="1:22" ht="23.25" customHeight="1" thickBot="1">
      <c r="A200" s="461" t="s">
        <v>145</v>
      </c>
      <c r="B200" s="461"/>
      <c r="C200" s="461"/>
      <c r="D200" s="461"/>
      <c r="E200" s="461"/>
      <c r="F200" s="461"/>
      <c r="G200" s="461"/>
      <c r="H200" s="461"/>
      <c r="I200" s="461"/>
      <c r="J200" s="461"/>
      <c r="K200" s="461"/>
      <c r="L200" s="461"/>
      <c r="M200" s="461"/>
      <c r="N200" s="461"/>
      <c r="O200" s="461"/>
      <c r="P200" s="461"/>
      <c r="Q200" s="461"/>
      <c r="R200" s="461"/>
      <c r="S200" s="461"/>
      <c r="T200" s="461"/>
      <c r="U200" s="461"/>
      <c r="V200" s="461"/>
    </row>
    <row r="201" spans="1:34" ht="22.5">
      <c r="A201" s="18" t="s">
        <v>0</v>
      </c>
      <c r="B201" s="139" t="s">
        <v>86</v>
      </c>
      <c r="C201" s="139"/>
      <c r="D201" s="139"/>
      <c r="E201" s="139"/>
      <c r="F201" s="139"/>
      <c r="G201" s="140"/>
      <c r="H201" s="19" t="s">
        <v>29</v>
      </c>
      <c r="I201" s="462" t="s">
        <v>85</v>
      </c>
      <c r="J201" s="463"/>
      <c r="K201" s="463"/>
      <c r="L201" s="463"/>
      <c r="M201" s="463"/>
      <c r="N201" s="463"/>
      <c r="O201" s="463"/>
      <c r="P201" s="463"/>
      <c r="Q201" s="463"/>
      <c r="R201" s="463"/>
      <c r="S201" s="463"/>
      <c r="T201" s="463"/>
      <c r="U201" s="464"/>
      <c r="V201" s="20" t="s">
        <v>29</v>
      </c>
      <c r="W201" s="16"/>
      <c r="X201" s="17"/>
      <c r="Y201" s="489"/>
      <c r="Z201" s="490"/>
      <c r="AC201" s="17"/>
      <c r="AH201" s="17"/>
    </row>
    <row r="202" spans="1:34" ht="13.5" thickBot="1">
      <c r="A202" s="21"/>
      <c r="B202" s="22" t="s">
        <v>61</v>
      </c>
      <c r="C202" s="22"/>
      <c r="D202" s="22"/>
      <c r="E202" s="22"/>
      <c r="F202" s="22"/>
      <c r="G202" s="23"/>
      <c r="H202" s="24" t="s">
        <v>62</v>
      </c>
      <c r="I202" s="465"/>
      <c r="J202" s="466"/>
      <c r="K202" s="466"/>
      <c r="L202" s="466"/>
      <c r="M202" s="466"/>
      <c r="N202" s="466"/>
      <c r="O202" s="466"/>
      <c r="P202" s="466"/>
      <c r="Q202" s="466"/>
      <c r="R202" s="466"/>
      <c r="S202" s="466"/>
      <c r="T202" s="466"/>
      <c r="U202" s="467"/>
      <c r="V202" s="25" t="s">
        <v>63</v>
      </c>
      <c r="W202" s="16"/>
      <c r="X202" s="17"/>
      <c r="Y202" s="489"/>
      <c r="Z202" s="490"/>
      <c r="AC202" s="17"/>
      <c r="AH202" s="17"/>
    </row>
    <row r="203" spans="1:22" ht="24.75" customHeight="1">
      <c r="A203" s="87" t="s">
        <v>34</v>
      </c>
      <c r="B203" s="441" t="s">
        <v>155</v>
      </c>
      <c r="C203" s="442"/>
      <c r="D203" s="442"/>
      <c r="E203" s="442"/>
      <c r="F203" s="442"/>
      <c r="G203" s="443"/>
      <c r="H203" s="54">
        <f>100+110</f>
        <v>210</v>
      </c>
      <c r="I203" s="613" t="s">
        <v>156</v>
      </c>
      <c r="J203" s="614"/>
      <c r="K203" s="614"/>
      <c r="L203" s="614"/>
      <c r="M203" s="614"/>
      <c r="N203" s="614"/>
      <c r="O203" s="614"/>
      <c r="P203" s="614"/>
      <c r="Q203" s="614"/>
      <c r="R203" s="614"/>
      <c r="S203" s="614"/>
      <c r="T203" s="614"/>
      <c r="U203" s="615"/>
      <c r="V203" s="88">
        <v>300</v>
      </c>
    </row>
    <row r="204" spans="1:22" s="40" customFormat="1" ht="12.75" customHeight="1">
      <c r="A204" s="141" t="s">
        <v>88</v>
      </c>
      <c r="B204" s="616"/>
      <c r="C204" s="617"/>
      <c r="D204" s="617"/>
      <c r="E204" s="617"/>
      <c r="F204" s="617"/>
      <c r="G204" s="618"/>
      <c r="H204" s="70">
        <v>0</v>
      </c>
      <c r="I204" s="621" t="s">
        <v>167</v>
      </c>
      <c r="J204" s="622"/>
      <c r="K204" s="622"/>
      <c r="L204" s="622"/>
      <c r="M204" s="622"/>
      <c r="N204" s="622"/>
      <c r="O204" s="622"/>
      <c r="P204" s="622"/>
      <c r="Q204" s="622"/>
      <c r="R204" s="622"/>
      <c r="S204" s="622"/>
      <c r="T204" s="622"/>
      <c r="U204" s="623"/>
      <c r="V204" s="147">
        <f>100+400</f>
        <v>500</v>
      </c>
    </row>
    <row r="205" spans="1:22" s="40" customFormat="1" ht="37.5" customHeight="1">
      <c r="A205" s="141" t="s">
        <v>89</v>
      </c>
      <c r="B205" s="444"/>
      <c r="C205" s="476"/>
      <c r="D205" s="476"/>
      <c r="E205" s="476"/>
      <c r="F205" s="476"/>
      <c r="G205" s="477"/>
      <c r="H205" s="38">
        <v>0</v>
      </c>
      <c r="I205" s="36"/>
      <c r="J205" s="37"/>
      <c r="K205" s="37"/>
      <c r="L205" s="37"/>
      <c r="M205" s="37"/>
      <c r="N205" s="37"/>
      <c r="O205" s="37"/>
      <c r="P205" s="37"/>
      <c r="Q205" s="37"/>
      <c r="R205" s="37"/>
      <c r="S205" s="37"/>
      <c r="T205" s="37"/>
      <c r="U205" s="37"/>
      <c r="V205" s="39">
        <v>0</v>
      </c>
    </row>
    <row r="206" spans="1:22" s="92" customFormat="1" ht="24.75" customHeight="1">
      <c r="A206" s="89" t="s">
        <v>35</v>
      </c>
      <c r="B206" s="547" t="s">
        <v>158</v>
      </c>
      <c r="C206" s="619"/>
      <c r="D206" s="619"/>
      <c r="E206" s="619"/>
      <c r="F206" s="619"/>
      <c r="G206" s="620"/>
      <c r="H206" s="90">
        <v>846</v>
      </c>
      <c r="I206" s="547"/>
      <c r="J206" s="548"/>
      <c r="K206" s="548"/>
      <c r="L206" s="548"/>
      <c r="M206" s="548"/>
      <c r="N206" s="548"/>
      <c r="O206" s="548"/>
      <c r="P206" s="548"/>
      <c r="Q206" s="548"/>
      <c r="R206" s="548"/>
      <c r="S206" s="548"/>
      <c r="T206" s="548"/>
      <c r="U206" s="549"/>
      <c r="V206" s="91">
        <v>0</v>
      </c>
    </row>
    <row r="207" spans="1:22" s="40" customFormat="1" ht="12.75" customHeight="1">
      <c r="A207" s="31" t="s">
        <v>36</v>
      </c>
      <c r="B207" s="36"/>
      <c r="C207" s="37"/>
      <c r="D207" s="37"/>
      <c r="E207" s="37"/>
      <c r="F207" s="37"/>
      <c r="G207" s="37"/>
      <c r="H207" s="38">
        <v>0</v>
      </c>
      <c r="I207" s="36" t="s">
        <v>159</v>
      </c>
      <c r="J207" s="37"/>
      <c r="K207" s="37"/>
      <c r="L207" s="37"/>
      <c r="M207" s="37"/>
      <c r="N207" s="37"/>
      <c r="O207" s="37"/>
      <c r="P207" s="37"/>
      <c r="Q207" s="37"/>
      <c r="R207" s="37"/>
      <c r="S207" s="37"/>
      <c r="T207" s="37"/>
      <c r="U207" s="37"/>
      <c r="V207" s="39">
        <f>480+320</f>
        <v>800</v>
      </c>
    </row>
    <row r="208" spans="1:22" s="40" customFormat="1" ht="65.25" customHeight="1">
      <c r="A208" s="31" t="s">
        <v>37</v>
      </c>
      <c r="B208" s="444" t="s">
        <v>160</v>
      </c>
      <c r="C208" s="476"/>
      <c r="D208" s="476"/>
      <c r="E208" s="476"/>
      <c r="F208" s="476"/>
      <c r="G208" s="477"/>
      <c r="H208" s="38">
        <f>100+150+150+100+600+600</f>
        <v>1700</v>
      </c>
      <c r="I208" s="444" t="s">
        <v>224</v>
      </c>
      <c r="J208" s="445"/>
      <c r="K208" s="445"/>
      <c r="L208" s="445"/>
      <c r="M208" s="445"/>
      <c r="N208" s="445"/>
      <c r="O208" s="445"/>
      <c r="P208" s="445"/>
      <c r="Q208" s="445"/>
      <c r="R208" s="445"/>
      <c r="S208" s="445"/>
      <c r="T208" s="445"/>
      <c r="U208" s="446"/>
      <c r="V208" s="39">
        <f>350+250</f>
        <v>600</v>
      </c>
    </row>
    <row r="209" spans="1:22" s="40" customFormat="1" ht="24" customHeight="1">
      <c r="A209" s="31" t="s">
        <v>90</v>
      </c>
      <c r="B209" s="444" t="s">
        <v>161</v>
      </c>
      <c r="C209" s="445"/>
      <c r="D209" s="445"/>
      <c r="E209" s="445"/>
      <c r="F209" s="445"/>
      <c r="G209" s="446"/>
      <c r="H209" s="38">
        <f>250+350</f>
        <v>600</v>
      </c>
      <c r="I209" s="32"/>
      <c r="J209" s="37"/>
      <c r="K209" s="37"/>
      <c r="L209" s="37"/>
      <c r="M209" s="37"/>
      <c r="N209" s="37"/>
      <c r="O209" s="37"/>
      <c r="P209" s="37"/>
      <c r="Q209" s="37"/>
      <c r="R209" s="37"/>
      <c r="S209" s="37"/>
      <c r="T209" s="37"/>
      <c r="U209" s="37"/>
      <c r="V209" s="39">
        <v>0</v>
      </c>
    </row>
    <row r="210" spans="1:22" s="40" customFormat="1" ht="22.5" customHeight="1">
      <c r="A210" s="148" t="s">
        <v>38</v>
      </c>
      <c r="B210" s="547" t="s">
        <v>162</v>
      </c>
      <c r="C210" s="548"/>
      <c r="D210" s="548"/>
      <c r="E210" s="548"/>
      <c r="F210" s="548"/>
      <c r="G210" s="549"/>
      <c r="H210" s="90">
        <v>202</v>
      </c>
      <c r="I210" s="36"/>
      <c r="J210" s="37"/>
      <c r="K210" s="37"/>
      <c r="L210" s="37"/>
      <c r="M210" s="37"/>
      <c r="N210" s="37"/>
      <c r="O210" s="37"/>
      <c r="P210" s="37"/>
      <c r="Q210" s="37"/>
      <c r="R210" s="37"/>
      <c r="S210" s="37"/>
      <c r="T210" s="37"/>
      <c r="U210" s="37"/>
      <c r="V210" s="39">
        <v>0</v>
      </c>
    </row>
    <row r="211" spans="1:22" s="40" customFormat="1" ht="33.75" customHeight="1">
      <c r="A211" s="55" t="s">
        <v>70</v>
      </c>
      <c r="B211" s="36"/>
      <c r="C211" s="37"/>
      <c r="D211" s="37"/>
      <c r="E211" s="37"/>
      <c r="F211" s="37"/>
      <c r="G211" s="37"/>
      <c r="H211" s="38">
        <v>0</v>
      </c>
      <c r="I211" s="593" t="s">
        <v>225</v>
      </c>
      <c r="J211" s="594"/>
      <c r="K211" s="594"/>
      <c r="L211" s="594"/>
      <c r="M211" s="594"/>
      <c r="N211" s="594"/>
      <c r="O211" s="594"/>
      <c r="P211" s="594"/>
      <c r="Q211" s="594"/>
      <c r="R211" s="594"/>
      <c r="S211" s="594"/>
      <c r="T211" s="594"/>
      <c r="U211" s="595"/>
      <c r="V211" s="39">
        <f>400+3461+50+100</f>
        <v>4011</v>
      </c>
    </row>
    <row r="212" spans="1:22" s="40" customFormat="1" ht="12.75" customHeight="1">
      <c r="A212" s="55" t="s">
        <v>39</v>
      </c>
      <c r="B212" s="36"/>
      <c r="C212" s="37"/>
      <c r="D212" s="37"/>
      <c r="E212" s="37"/>
      <c r="F212" s="37"/>
      <c r="G212" s="37"/>
      <c r="H212" s="38">
        <v>0</v>
      </c>
      <c r="I212" s="610" t="s">
        <v>163</v>
      </c>
      <c r="J212" s="611"/>
      <c r="K212" s="611"/>
      <c r="L212" s="611"/>
      <c r="M212" s="611"/>
      <c r="N212" s="611"/>
      <c r="O212" s="611"/>
      <c r="P212" s="611"/>
      <c r="Q212" s="611"/>
      <c r="R212" s="611"/>
      <c r="S212" s="611"/>
      <c r="T212" s="611"/>
      <c r="U212" s="612"/>
      <c r="V212" s="39">
        <f>235+75</f>
        <v>310</v>
      </c>
    </row>
    <row r="213" spans="1:22" s="40" customFormat="1" ht="12.75" customHeight="1">
      <c r="A213" s="450" t="s">
        <v>40</v>
      </c>
      <c r="B213" s="435"/>
      <c r="C213" s="497"/>
      <c r="D213" s="497"/>
      <c r="E213" s="497"/>
      <c r="F213" s="497"/>
      <c r="G213" s="498"/>
      <c r="H213" s="487">
        <v>0</v>
      </c>
      <c r="I213" s="599" t="s">
        <v>226</v>
      </c>
      <c r="J213" s="600"/>
      <c r="K213" s="600"/>
      <c r="L213" s="600"/>
      <c r="M213" s="600"/>
      <c r="N213" s="600"/>
      <c r="O213" s="600"/>
      <c r="P213" s="600"/>
      <c r="Q213" s="600"/>
      <c r="R213" s="600"/>
      <c r="S213" s="600"/>
      <c r="T213" s="600"/>
      <c r="U213" s="601"/>
      <c r="V213" s="487">
        <f>100+200+80+380</f>
        <v>760</v>
      </c>
    </row>
    <row r="214" spans="1:22" s="40" customFormat="1" ht="12.75" customHeight="1">
      <c r="A214" s="451"/>
      <c r="B214" s="519"/>
      <c r="C214" s="520"/>
      <c r="D214" s="520"/>
      <c r="E214" s="520"/>
      <c r="F214" s="520"/>
      <c r="G214" s="521"/>
      <c r="H214" s="488"/>
      <c r="I214" s="602"/>
      <c r="J214" s="603"/>
      <c r="K214" s="603"/>
      <c r="L214" s="603"/>
      <c r="M214" s="603"/>
      <c r="N214" s="603"/>
      <c r="O214" s="603"/>
      <c r="P214" s="603"/>
      <c r="Q214" s="603"/>
      <c r="R214" s="603"/>
      <c r="S214" s="603"/>
      <c r="T214" s="603"/>
      <c r="U214" s="604"/>
      <c r="V214" s="488"/>
    </row>
    <row r="215" spans="1:22" s="40" customFormat="1" ht="36.75" customHeight="1">
      <c r="A215" s="142" t="s">
        <v>92</v>
      </c>
      <c r="B215" s="444" t="s">
        <v>164</v>
      </c>
      <c r="C215" s="476"/>
      <c r="D215" s="476"/>
      <c r="E215" s="476"/>
      <c r="F215" s="476"/>
      <c r="G215" s="477"/>
      <c r="H215" s="38">
        <f>200+100+200+240</f>
        <v>740</v>
      </c>
      <c r="I215" s="444" t="s">
        <v>165</v>
      </c>
      <c r="J215" s="476"/>
      <c r="K215" s="476"/>
      <c r="L215" s="476"/>
      <c r="M215" s="476"/>
      <c r="N215" s="476"/>
      <c r="O215" s="476"/>
      <c r="P215" s="476"/>
      <c r="Q215" s="476"/>
      <c r="R215" s="476"/>
      <c r="S215" s="476"/>
      <c r="T215" s="476"/>
      <c r="U215" s="477"/>
      <c r="V215" s="39">
        <f>900+150+250+315</f>
        <v>1615</v>
      </c>
    </row>
    <row r="216" spans="1:22" s="40" customFormat="1" ht="21" customHeight="1" thickBot="1">
      <c r="A216" s="187" t="s">
        <v>93</v>
      </c>
      <c r="B216" s="605"/>
      <c r="C216" s="606"/>
      <c r="D216" s="606"/>
      <c r="E216" s="606"/>
      <c r="F216" s="606"/>
      <c r="G216" s="607"/>
      <c r="H216" s="38">
        <v>0</v>
      </c>
      <c r="I216" s="438" t="s">
        <v>166</v>
      </c>
      <c r="J216" s="608"/>
      <c r="K216" s="608"/>
      <c r="L216" s="608"/>
      <c r="M216" s="608"/>
      <c r="N216" s="608"/>
      <c r="O216" s="608"/>
      <c r="P216" s="608"/>
      <c r="Q216" s="608"/>
      <c r="R216" s="608"/>
      <c r="S216" s="608"/>
      <c r="T216" s="608"/>
      <c r="U216" s="609"/>
      <c r="V216" s="39">
        <f>130+135+135+60</f>
        <v>460</v>
      </c>
    </row>
    <row r="217" spans="1:22" s="40" customFormat="1" ht="12.75" customHeight="1" thickBot="1">
      <c r="A217" s="26" t="s">
        <v>41</v>
      </c>
      <c r="B217" s="93"/>
      <c r="C217" s="94"/>
      <c r="D217" s="94"/>
      <c r="E217" s="94"/>
      <c r="F217" s="94"/>
      <c r="G217" s="94"/>
      <c r="H217" s="29">
        <f>SUM(H218)</f>
        <v>0</v>
      </c>
      <c r="I217" s="93"/>
      <c r="J217" s="94"/>
      <c r="K217" s="94"/>
      <c r="L217" s="94"/>
      <c r="M217" s="94"/>
      <c r="N217" s="94"/>
      <c r="O217" s="94"/>
      <c r="P217" s="94"/>
      <c r="Q217" s="94"/>
      <c r="R217" s="94"/>
      <c r="S217" s="94"/>
      <c r="T217" s="94"/>
      <c r="U217" s="95"/>
      <c r="V217" s="29">
        <f>SUM(V218)</f>
        <v>210</v>
      </c>
    </row>
    <row r="218" spans="1:22" s="40" customFormat="1" ht="23.25" customHeight="1" thickBot="1">
      <c r="A218" s="96" t="s">
        <v>131</v>
      </c>
      <c r="B218" s="97"/>
      <c r="C218" s="98"/>
      <c r="D218" s="98"/>
      <c r="E218" s="98"/>
      <c r="F218" s="98"/>
      <c r="G218" s="98"/>
      <c r="H218" s="99">
        <v>0</v>
      </c>
      <c r="I218" s="100" t="s">
        <v>170</v>
      </c>
      <c r="J218" s="98"/>
      <c r="K218" s="98"/>
      <c r="L218" s="98"/>
      <c r="M218" s="98"/>
      <c r="N218" s="98"/>
      <c r="O218" s="98"/>
      <c r="P218" s="98"/>
      <c r="Q218" s="98"/>
      <c r="R218" s="98"/>
      <c r="S218" s="98"/>
      <c r="T218" s="98"/>
      <c r="U218" s="98"/>
      <c r="V218" s="99">
        <v>210</v>
      </c>
    </row>
    <row r="219" spans="1:22" ht="12.75" customHeight="1" thickBot="1">
      <c r="A219" s="101" t="s">
        <v>19</v>
      </c>
      <c r="B219" s="97"/>
      <c r="C219" s="98"/>
      <c r="D219" s="98"/>
      <c r="E219" s="98"/>
      <c r="F219" s="98"/>
      <c r="G219" s="98"/>
      <c r="H219" s="102">
        <f>SUM(H220+H222)</f>
        <v>0</v>
      </c>
      <c r="I219" s="97"/>
      <c r="J219" s="98"/>
      <c r="K219" s="98"/>
      <c r="L219" s="98"/>
      <c r="M219" s="98"/>
      <c r="N219" s="98"/>
      <c r="O219" s="98"/>
      <c r="P219" s="98"/>
      <c r="Q219" s="98"/>
      <c r="R219" s="98"/>
      <c r="S219" s="98"/>
      <c r="T219" s="98"/>
      <c r="U219" s="98"/>
      <c r="V219" s="102">
        <f>SUM(V220)</f>
        <v>0</v>
      </c>
    </row>
    <row r="220" spans="1:22" ht="12.75" customHeight="1">
      <c r="A220" s="554" t="s">
        <v>71</v>
      </c>
      <c r="B220" s="567"/>
      <c r="C220" s="568"/>
      <c r="D220" s="568"/>
      <c r="E220" s="568"/>
      <c r="F220" s="568"/>
      <c r="G220" s="569"/>
      <c r="H220" s="596"/>
      <c r="I220" s="557"/>
      <c r="J220" s="558"/>
      <c r="K220" s="558"/>
      <c r="L220" s="558"/>
      <c r="M220" s="558"/>
      <c r="N220" s="558"/>
      <c r="O220" s="558"/>
      <c r="P220" s="558"/>
      <c r="Q220" s="558"/>
      <c r="R220" s="558"/>
      <c r="S220" s="558"/>
      <c r="T220" s="558"/>
      <c r="U220" s="559"/>
      <c r="V220" s="552"/>
    </row>
    <row r="221" spans="1:22" ht="12.75" customHeight="1" hidden="1">
      <c r="A221" s="555"/>
      <c r="B221" s="570"/>
      <c r="C221" s="571"/>
      <c r="D221" s="571"/>
      <c r="E221" s="571"/>
      <c r="F221" s="571"/>
      <c r="G221" s="572"/>
      <c r="H221" s="597"/>
      <c r="I221" s="560"/>
      <c r="J221" s="561"/>
      <c r="K221" s="561"/>
      <c r="L221" s="561"/>
      <c r="M221" s="561"/>
      <c r="N221" s="561"/>
      <c r="O221" s="561"/>
      <c r="P221" s="561"/>
      <c r="Q221" s="561"/>
      <c r="R221" s="561"/>
      <c r="S221" s="561"/>
      <c r="T221" s="561"/>
      <c r="U221" s="562"/>
      <c r="V221" s="566"/>
    </row>
    <row r="222" spans="1:22" ht="57" customHeight="1" thickBot="1">
      <c r="A222" s="556"/>
      <c r="B222" s="573"/>
      <c r="C222" s="574"/>
      <c r="D222" s="574"/>
      <c r="E222" s="574"/>
      <c r="F222" s="574"/>
      <c r="G222" s="575"/>
      <c r="H222" s="598"/>
      <c r="I222" s="563"/>
      <c r="J222" s="564"/>
      <c r="K222" s="564"/>
      <c r="L222" s="564"/>
      <c r="M222" s="564"/>
      <c r="N222" s="564"/>
      <c r="O222" s="564"/>
      <c r="P222" s="564"/>
      <c r="Q222" s="564"/>
      <c r="R222" s="564"/>
      <c r="S222" s="564"/>
      <c r="T222" s="564"/>
      <c r="U222" s="565"/>
      <c r="V222" s="488"/>
    </row>
    <row r="223" spans="1:22" ht="12.75" customHeight="1" thickBot="1">
      <c r="A223" s="26" t="s">
        <v>72</v>
      </c>
      <c r="B223" s="27"/>
      <c r="C223" s="28"/>
      <c r="D223" s="28"/>
      <c r="E223" s="28"/>
      <c r="F223" s="28"/>
      <c r="G223" s="28"/>
      <c r="H223" s="29">
        <f>SUM(H224+H225+H226+H227+H228)</f>
        <v>0</v>
      </c>
      <c r="I223" s="28"/>
      <c r="J223" s="28"/>
      <c r="K223" s="28"/>
      <c r="L223" s="28"/>
      <c r="M223" s="28"/>
      <c r="N223" s="28"/>
      <c r="O223" s="28"/>
      <c r="P223" s="28"/>
      <c r="Q223" s="28"/>
      <c r="R223" s="28"/>
      <c r="S223" s="28"/>
      <c r="T223" s="28"/>
      <c r="U223" s="28"/>
      <c r="V223" s="29">
        <f>SUM(V224+V225+V226+V227+V228)</f>
        <v>0</v>
      </c>
    </row>
    <row r="224" spans="1:22" ht="12.75" customHeight="1">
      <c r="A224" s="105" t="s">
        <v>133</v>
      </c>
      <c r="B224" s="106"/>
      <c r="C224" s="106"/>
      <c r="D224" s="106"/>
      <c r="E224" s="106"/>
      <c r="F224" s="106"/>
      <c r="G224" s="106"/>
      <c r="H224" s="107">
        <v>0</v>
      </c>
      <c r="I224" s="106"/>
      <c r="J224" s="106"/>
      <c r="K224" s="106"/>
      <c r="L224" s="106"/>
      <c r="M224" s="106"/>
      <c r="N224" s="106"/>
      <c r="O224" s="106"/>
      <c r="P224" s="106"/>
      <c r="Q224" s="106"/>
      <c r="R224" s="106"/>
      <c r="S224" s="106"/>
      <c r="T224" s="106"/>
      <c r="U224" s="106"/>
      <c r="V224" s="88">
        <v>0</v>
      </c>
    </row>
    <row r="225" spans="1:22" ht="12.75">
      <c r="A225" s="108" t="s">
        <v>21</v>
      </c>
      <c r="B225" s="109"/>
      <c r="C225" s="110"/>
      <c r="D225" s="110"/>
      <c r="E225" s="110"/>
      <c r="F225" s="110"/>
      <c r="G225" s="110"/>
      <c r="H225" s="35">
        <v>0</v>
      </c>
      <c r="I225" s="111"/>
      <c r="J225" s="112"/>
      <c r="K225" s="112"/>
      <c r="L225" s="112"/>
      <c r="M225" s="112"/>
      <c r="N225" s="112"/>
      <c r="O225" s="112"/>
      <c r="P225" s="112"/>
      <c r="Q225" s="112"/>
      <c r="R225" s="112"/>
      <c r="S225" s="112"/>
      <c r="T225" s="112"/>
      <c r="U225" s="112"/>
      <c r="V225" s="113">
        <v>0</v>
      </c>
    </row>
    <row r="226" spans="1:22" s="86" customFormat="1" ht="12.75" customHeight="1">
      <c r="A226" s="114" t="s">
        <v>22</v>
      </c>
      <c r="B226" s="115"/>
      <c r="C226" s="116"/>
      <c r="D226" s="116"/>
      <c r="E226" s="116"/>
      <c r="F226" s="116"/>
      <c r="G226" s="116"/>
      <c r="H226" s="70">
        <v>0</v>
      </c>
      <c r="I226" s="117"/>
      <c r="J226" s="118"/>
      <c r="K226" s="118"/>
      <c r="L226" s="118"/>
      <c r="M226" s="118"/>
      <c r="N226" s="118"/>
      <c r="O226" s="118"/>
      <c r="P226" s="118"/>
      <c r="Q226" s="118"/>
      <c r="R226" s="118"/>
      <c r="S226" s="118"/>
      <c r="T226" s="118"/>
      <c r="U226" s="118"/>
      <c r="V226" s="59">
        <v>0</v>
      </c>
    </row>
    <row r="227" spans="1:22" ht="12.75">
      <c r="A227" s="119" t="s">
        <v>23</v>
      </c>
      <c r="B227" s="120"/>
      <c r="C227" s="77"/>
      <c r="D227" s="77"/>
      <c r="E227" s="77"/>
      <c r="F227" s="77"/>
      <c r="G227" s="77"/>
      <c r="H227" s="78">
        <v>0</v>
      </c>
      <c r="I227" s="68"/>
      <c r="J227" s="77"/>
      <c r="K227" s="77"/>
      <c r="L227" s="77"/>
      <c r="M227" s="77"/>
      <c r="N227" s="77"/>
      <c r="O227" s="77"/>
      <c r="P227" s="77"/>
      <c r="Q227" s="77"/>
      <c r="R227" s="77"/>
      <c r="S227" s="77"/>
      <c r="T227" s="77"/>
      <c r="U227" s="77"/>
      <c r="V227" s="72">
        <v>0</v>
      </c>
    </row>
    <row r="228" spans="1:22" ht="13.5" thickBot="1">
      <c r="A228" s="121" t="s">
        <v>33</v>
      </c>
      <c r="B228" s="103"/>
      <c r="C228" s="104"/>
      <c r="D228" s="104"/>
      <c r="E228" s="104"/>
      <c r="F228" s="104"/>
      <c r="G228" s="104"/>
      <c r="H228" s="122">
        <v>0</v>
      </c>
      <c r="I228" s="123"/>
      <c r="J228" s="104"/>
      <c r="K228" s="104"/>
      <c r="L228" s="104"/>
      <c r="M228" s="104"/>
      <c r="N228" s="104"/>
      <c r="O228" s="104"/>
      <c r="P228" s="104"/>
      <c r="Q228" s="104"/>
      <c r="R228" s="104"/>
      <c r="S228" s="104"/>
      <c r="T228" s="104"/>
      <c r="U228" s="104"/>
      <c r="V228" s="80">
        <v>0</v>
      </c>
    </row>
    <row r="229" spans="1:22" ht="13.5" thickBot="1">
      <c r="A229" s="26" t="s">
        <v>24</v>
      </c>
      <c r="B229" s="27"/>
      <c r="C229" s="28"/>
      <c r="D229" s="28"/>
      <c r="E229" s="28"/>
      <c r="F229" s="28"/>
      <c r="G229" s="28"/>
      <c r="H229" s="29">
        <f>SUM(H230:H230)</f>
        <v>227</v>
      </c>
      <c r="I229" s="27"/>
      <c r="J229" s="28"/>
      <c r="K229" s="28"/>
      <c r="L229" s="28"/>
      <c r="M229" s="28"/>
      <c r="N229" s="28"/>
      <c r="O229" s="28"/>
      <c r="P229" s="28"/>
      <c r="Q229" s="28"/>
      <c r="R229" s="28"/>
      <c r="S229" s="28"/>
      <c r="T229" s="28"/>
      <c r="U229" s="28"/>
      <c r="V229" s="29">
        <f>SUM(V230:V230)</f>
        <v>0</v>
      </c>
    </row>
    <row r="230" spans="1:22" ht="12.75">
      <c r="A230" s="554" t="s">
        <v>129</v>
      </c>
      <c r="B230" s="579" t="s">
        <v>191</v>
      </c>
      <c r="C230" s="580"/>
      <c r="D230" s="580"/>
      <c r="E230" s="580"/>
      <c r="F230" s="580"/>
      <c r="G230" s="581"/>
      <c r="H230" s="552">
        <v>227</v>
      </c>
      <c r="I230" s="579"/>
      <c r="J230" s="480"/>
      <c r="K230" s="480"/>
      <c r="L230" s="480"/>
      <c r="M230" s="480"/>
      <c r="N230" s="480"/>
      <c r="O230" s="480"/>
      <c r="P230" s="480"/>
      <c r="Q230" s="480"/>
      <c r="R230" s="480"/>
      <c r="S230" s="480"/>
      <c r="T230" s="480"/>
      <c r="U230" s="481"/>
      <c r="V230" s="624">
        <v>0</v>
      </c>
    </row>
    <row r="231" spans="1:22" ht="34.5" customHeight="1" thickBot="1">
      <c r="A231" s="556"/>
      <c r="B231" s="582"/>
      <c r="C231" s="583"/>
      <c r="D231" s="583"/>
      <c r="E231" s="583"/>
      <c r="F231" s="583"/>
      <c r="G231" s="584"/>
      <c r="H231" s="553"/>
      <c r="I231" s="586"/>
      <c r="J231" s="587"/>
      <c r="K231" s="587"/>
      <c r="L231" s="587"/>
      <c r="M231" s="587"/>
      <c r="N231" s="587"/>
      <c r="O231" s="587"/>
      <c r="P231" s="587"/>
      <c r="Q231" s="587"/>
      <c r="R231" s="587"/>
      <c r="S231" s="587"/>
      <c r="T231" s="587"/>
      <c r="U231" s="588"/>
      <c r="V231" s="551"/>
    </row>
    <row r="232" spans="1:22" ht="13.5" thickBot="1">
      <c r="A232" s="26" t="s">
        <v>73</v>
      </c>
      <c r="B232" s="27"/>
      <c r="C232" s="28"/>
      <c r="D232" s="28"/>
      <c r="E232" s="28"/>
      <c r="F232" s="28"/>
      <c r="G232" s="28"/>
      <c r="H232" s="29">
        <f>SUM(H233:H235)</f>
        <v>0</v>
      </c>
      <c r="I232" s="27"/>
      <c r="J232" s="28"/>
      <c r="K232" s="28"/>
      <c r="L232" s="28"/>
      <c r="M232" s="28"/>
      <c r="N232" s="28"/>
      <c r="O232" s="28"/>
      <c r="P232" s="28"/>
      <c r="Q232" s="28"/>
      <c r="R232" s="28"/>
      <c r="S232" s="28"/>
      <c r="T232" s="28"/>
      <c r="U232" s="28"/>
      <c r="V232" s="29">
        <f>SUM(V233:V235)</f>
        <v>0</v>
      </c>
    </row>
    <row r="233" spans="1:22" ht="12.75">
      <c r="A233" s="126" t="s">
        <v>7</v>
      </c>
      <c r="B233" s="120"/>
      <c r="C233" s="77"/>
      <c r="D233" s="77"/>
      <c r="E233" s="77"/>
      <c r="F233" s="77"/>
      <c r="G233" s="77"/>
      <c r="H233" s="78"/>
      <c r="I233" s="120"/>
      <c r="J233" s="77"/>
      <c r="K233" s="77"/>
      <c r="L233" s="77"/>
      <c r="M233" s="77"/>
      <c r="N233" s="77"/>
      <c r="O233" s="77"/>
      <c r="P233" s="77"/>
      <c r="Q233" s="77"/>
      <c r="R233" s="77"/>
      <c r="S233" s="77"/>
      <c r="T233" s="77"/>
      <c r="U233" s="77"/>
      <c r="V233" s="72"/>
    </row>
    <row r="234" spans="1:22" s="40" customFormat="1" ht="12.75" customHeight="1">
      <c r="A234" s="591" t="s">
        <v>55</v>
      </c>
      <c r="B234" s="585"/>
      <c r="C234" s="436"/>
      <c r="D234" s="436"/>
      <c r="E234" s="436"/>
      <c r="F234" s="436"/>
      <c r="G234" s="437"/>
      <c r="H234" s="589"/>
      <c r="I234" s="585"/>
      <c r="J234" s="436"/>
      <c r="K234" s="436"/>
      <c r="L234" s="436"/>
      <c r="M234" s="436"/>
      <c r="N234" s="436"/>
      <c r="O234" s="436"/>
      <c r="P234" s="436"/>
      <c r="Q234" s="436"/>
      <c r="R234" s="436"/>
      <c r="S234" s="436"/>
      <c r="T234" s="436"/>
      <c r="U234" s="437"/>
      <c r="V234" s="550"/>
    </row>
    <row r="235" spans="1:22" s="40" customFormat="1" ht="13.5" thickBot="1">
      <c r="A235" s="592"/>
      <c r="B235" s="586"/>
      <c r="C235" s="587"/>
      <c r="D235" s="587"/>
      <c r="E235" s="587"/>
      <c r="F235" s="587"/>
      <c r="G235" s="588"/>
      <c r="H235" s="590"/>
      <c r="I235" s="586"/>
      <c r="J235" s="587"/>
      <c r="K235" s="587"/>
      <c r="L235" s="587"/>
      <c r="M235" s="587"/>
      <c r="N235" s="587"/>
      <c r="O235" s="587"/>
      <c r="P235" s="587"/>
      <c r="Q235" s="587"/>
      <c r="R235" s="587"/>
      <c r="S235" s="587"/>
      <c r="T235" s="587"/>
      <c r="U235" s="588"/>
      <c r="V235" s="551"/>
    </row>
    <row r="236" spans="1:22" s="40" customFormat="1" ht="12.75">
      <c r="A236" s="127"/>
      <c r="B236" s="104"/>
      <c r="C236" s="104"/>
      <c r="D236" s="104"/>
      <c r="E236" s="104"/>
      <c r="F236" s="104"/>
      <c r="G236" s="104"/>
      <c r="H236" s="128"/>
      <c r="I236" s="104"/>
      <c r="J236" s="104"/>
      <c r="K236" s="104"/>
      <c r="L236" s="104"/>
      <c r="M236" s="104"/>
      <c r="N236" s="104"/>
      <c r="O236" s="104"/>
      <c r="P236" s="104"/>
      <c r="Q236" s="104"/>
      <c r="R236" s="104"/>
      <c r="S236" s="104"/>
      <c r="T236" s="104"/>
      <c r="U236" s="104"/>
      <c r="V236" s="85"/>
    </row>
    <row r="237" spans="1:34" ht="18.75" thickBot="1">
      <c r="A237" s="461" t="s">
        <v>145</v>
      </c>
      <c r="B237" s="461"/>
      <c r="C237" s="461"/>
      <c r="D237" s="461"/>
      <c r="E237" s="461"/>
      <c r="F237" s="461"/>
      <c r="G237" s="461"/>
      <c r="H237" s="461"/>
      <c r="I237" s="461"/>
      <c r="J237" s="461"/>
      <c r="K237" s="461"/>
      <c r="L237" s="461"/>
      <c r="M237" s="461"/>
      <c r="N237" s="461"/>
      <c r="O237" s="461"/>
      <c r="P237" s="461"/>
      <c r="Q237" s="461"/>
      <c r="R237" s="461"/>
      <c r="S237" s="461"/>
      <c r="T237" s="461"/>
      <c r="U237" s="461"/>
      <c r="V237" s="461"/>
      <c r="W237" s="16"/>
      <c r="X237" s="17"/>
      <c r="Y237" s="489"/>
      <c r="Z237" s="490"/>
      <c r="AC237" s="17"/>
      <c r="AH237" s="17"/>
    </row>
    <row r="238" spans="1:34" ht="22.5">
      <c r="A238" s="18" t="s">
        <v>0</v>
      </c>
      <c r="B238" s="139" t="s">
        <v>86</v>
      </c>
      <c r="C238" s="139"/>
      <c r="D238" s="139"/>
      <c r="E238" s="139"/>
      <c r="F238" s="139"/>
      <c r="G238" s="140"/>
      <c r="H238" s="19" t="s">
        <v>29</v>
      </c>
      <c r="I238" s="462" t="s">
        <v>85</v>
      </c>
      <c r="J238" s="463"/>
      <c r="K238" s="463"/>
      <c r="L238" s="463"/>
      <c r="M238" s="463"/>
      <c r="N238" s="463"/>
      <c r="O238" s="463"/>
      <c r="P238" s="463"/>
      <c r="Q238" s="463"/>
      <c r="R238" s="463"/>
      <c r="S238" s="463"/>
      <c r="T238" s="463"/>
      <c r="U238" s="464"/>
      <c r="V238" s="20" t="s">
        <v>29</v>
      </c>
      <c r="W238" s="16"/>
      <c r="X238" s="17"/>
      <c r="Y238" s="489"/>
      <c r="Z238" s="490"/>
      <c r="AC238" s="17"/>
      <c r="AH238" s="17"/>
    </row>
    <row r="239" spans="1:34" ht="13.5" thickBot="1">
      <c r="A239" s="21"/>
      <c r="B239" s="22" t="s">
        <v>61</v>
      </c>
      <c r="C239" s="22"/>
      <c r="D239" s="22"/>
      <c r="E239" s="22"/>
      <c r="F239" s="22"/>
      <c r="G239" s="23"/>
      <c r="H239" s="24" t="s">
        <v>62</v>
      </c>
      <c r="I239" s="465"/>
      <c r="J239" s="466"/>
      <c r="K239" s="466"/>
      <c r="L239" s="466"/>
      <c r="M239" s="466"/>
      <c r="N239" s="466"/>
      <c r="O239" s="466"/>
      <c r="P239" s="466"/>
      <c r="Q239" s="466"/>
      <c r="R239" s="466"/>
      <c r="S239" s="466"/>
      <c r="T239" s="466"/>
      <c r="U239" s="467"/>
      <c r="V239" s="25" t="s">
        <v>63</v>
      </c>
      <c r="W239" s="16"/>
      <c r="X239" s="17"/>
      <c r="Y239" s="489"/>
      <c r="Z239" s="490"/>
      <c r="AC239" s="17"/>
      <c r="AH239" s="17"/>
    </row>
    <row r="240" spans="1:22" ht="13.5" thickBot="1">
      <c r="A240" s="26" t="s">
        <v>74</v>
      </c>
      <c r="B240" s="27"/>
      <c r="C240" s="28"/>
      <c r="D240" s="28"/>
      <c r="E240" s="28"/>
      <c r="F240" s="28"/>
      <c r="G240" s="28"/>
      <c r="H240" s="29">
        <f>SUM(H241:H241)</f>
        <v>100</v>
      </c>
      <c r="I240" s="27"/>
      <c r="J240" s="28"/>
      <c r="K240" s="28"/>
      <c r="L240" s="28"/>
      <c r="M240" s="28"/>
      <c r="N240" s="28"/>
      <c r="O240" s="28"/>
      <c r="P240" s="28"/>
      <c r="Q240" s="28"/>
      <c r="R240" s="28"/>
      <c r="S240" s="28"/>
      <c r="T240" s="28"/>
      <c r="U240" s="28"/>
      <c r="V240" s="29">
        <f>SUM(V241:V241)</f>
        <v>150</v>
      </c>
    </row>
    <row r="241" spans="1:22" s="40" customFormat="1" ht="13.5" thickBot="1">
      <c r="A241" s="244" t="s">
        <v>113</v>
      </c>
      <c r="B241" s="68" t="s">
        <v>210</v>
      </c>
      <c r="C241" s="69"/>
      <c r="D241" s="69"/>
      <c r="E241" s="69"/>
      <c r="F241" s="69"/>
      <c r="G241" s="69"/>
      <c r="H241" s="70">
        <v>100</v>
      </c>
      <c r="I241" s="68" t="s">
        <v>227</v>
      </c>
      <c r="J241" s="69"/>
      <c r="K241" s="69"/>
      <c r="L241" s="69"/>
      <c r="M241" s="69"/>
      <c r="N241" s="69"/>
      <c r="O241" s="69"/>
      <c r="P241" s="69"/>
      <c r="Q241" s="69"/>
      <c r="R241" s="69"/>
      <c r="S241" s="69"/>
      <c r="T241" s="69"/>
      <c r="U241" s="69"/>
      <c r="V241" s="59">
        <f>45+105</f>
        <v>150</v>
      </c>
    </row>
    <row r="242" spans="1:22" s="40" customFormat="1" ht="13.5" thickBot="1">
      <c r="A242" s="132" t="s">
        <v>75</v>
      </c>
      <c r="B242" s="133"/>
      <c r="C242" s="134"/>
      <c r="D242" s="134"/>
      <c r="E242" s="134"/>
      <c r="F242" s="134"/>
      <c r="G242" s="134"/>
      <c r="H242" s="102">
        <f>SUM(H243)</f>
        <v>0</v>
      </c>
      <c r="I242" s="133"/>
      <c r="J242" s="134"/>
      <c r="K242" s="134"/>
      <c r="L242" s="134"/>
      <c r="M242" s="134"/>
      <c r="N242" s="134"/>
      <c r="O242" s="134"/>
      <c r="P242" s="134"/>
      <c r="Q242" s="134"/>
      <c r="R242" s="134"/>
      <c r="S242" s="134"/>
      <c r="T242" s="134"/>
      <c r="U242" s="134"/>
      <c r="V242" s="102">
        <f>SUM(V243)</f>
        <v>0</v>
      </c>
    </row>
    <row r="243" spans="1:22" s="40" customFormat="1" ht="13.5" thickBot="1">
      <c r="A243" s="121" t="s">
        <v>130</v>
      </c>
      <c r="B243" s="75"/>
      <c r="C243" s="76"/>
      <c r="D243" s="76"/>
      <c r="E243" s="76"/>
      <c r="F243" s="76"/>
      <c r="G243" s="76"/>
      <c r="H243" s="124"/>
      <c r="I243" s="75"/>
      <c r="J243" s="76"/>
      <c r="K243" s="76"/>
      <c r="L243" s="76"/>
      <c r="M243" s="76"/>
      <c r="N243" s="76"/>
      <c r="O243" s="76"/>
      <c r="P243" s="76"/>
      <c r="Q243" s="76"/>
      <c r="R243" s="76"/>
      <c r="S243" s="76"/>
      <c r="T243" s="76"/>
      <c r="U243" s="76"/>
      <c r="V243" s="125"/>
    </row>
    <row r="244" spans="1:22" ht="13.5" thickBot="1">
      <c r="A244" s="132" t="s">
        <v>76</v>
      </c>
      <c r="B244" s="27"/>
      <c r="C244" s="28"/>
      <c r="D244" s="28"/>
      <c r="E244" s="28"/>
      <c r="F244" s="28"/>
      <c r="G244" s="28"/>
      <c r="H244" s="29">
        <f>SUM(H245:H245)</f>
        <v>250</v>
      </c>
      <c r="I244" s="27"/>
      <c r="J244" s="28"/>
      <c r="K244" s="28"/>
      <c r="L244" s="28"/>
      <c r="M244" s="28"/>
      <c r="N244" s="28"/>
      <c r="O244" s="28"/>
      <c r="P244" s="28"/>
      <c r="Q244" s="28"/>
      <c r="R244" s="28"/>
      <c r="S244" s="28"/>
      <c r="T244" s="28"/>
      <c r="U244" s="28"/>
      <c r="V244" s="29">
        <f>SUM(V245:V245)</f>
        <v>0</v>
      </c>
    </row>
    <row r="245" spans="1:22" s="40" customFormat="1" ht="59.25" customHeight="1" thickBot="1">
      <c r="A245" s="245" t="s">
        <v>6</v>
      </c>
      <c r="B245" s="444" t="s">
        <v>211</v>
      </c>
      <c r="C245" s="445"/>
      <c r="D245" s="445"/>
      <c r="E245" s="445"/>
      <c r="F245" s="445"/>
      <c r="G245" s="446"/>
      <c r="H245" s="38">
        <f>30+80+30+70+40</f>
        <v>250</v>
      </c>
      <c r="I245" s="576"/>
      <c r="J245" s="577"/>
      <c r="K245" s="577"/>
      <c r="L245" s="577"/>
      <c r="M245" s="577"/>
      <c r="N245" s="577"/>
      <c r="O245" s="577"/>
      <c r="P245" s="577"/>
      <c r="Q245" s="577"/>
      <c r="R245" s="577"/>
      <c r="S245" s="577"/>
      <c r="T245" s="577"/>
      <c r="U245" s="578"/>
      <c r="V245" s="39">
        <v>0</v>
      </c>
    </row>
    <row r="246" spans="1:22" ht="13.5" thickBot="1">
      <c r="A246" s="132" t="s">
        <v>77</v>
      </c>
      <c r="B246" s="27"/>
      <c r="C246" s="28"/>
      <c r="D246" s="28"/>
      <c r="E246" s="28"/>
      <c r="F246" s="28"/>
      <c r="G246" s="28"/>
      <c r="H246" s="29">
        <f>SUM(H247:H255)</f>
        <v>877</v>
      </c>
      <c r="I246" s="136"/>
      <c r="J246" s="28"/>
      <c r="K246" s="28"/>
      <c r="L246" s="28"/>
      <c r="M246" s="28"/>
      <c r="N246" s="28"/>
      <c r="O246" s="28"/>
      <c r="P246" s="28"/>
      <c r="Q246" s="28"/>
      <c r="R246" s="28"/>
      <c r="S246" s="28"/>
      <c r="T246" s="28"/>
      <c r="U246" s="28"/>
      <c r="V246" s="29">
        <f>SUM(V247:V255)</f>
        <v>590</v>
      </c>
    </row>
    <row r="247" spans="1:22" s="40" customFormat="1" ht="24.75" customHeight="1">
      <c r="A247" s="129" t="s">
        <v>134</v>
      </c>
      <c r="B247" s="441"/>
      <c r="C247" s="442"/>
      <c r="D247" s="442"/>
      <c r="E247" s="442"/>
      <c r="F247" s="442"/>
      <c r="G247" s="443"/>
      <c r="H247" s="70">
        <v>0</v>
      </c>
      <c r="I247" s="68" t="s">
        <v>171</v>
      </c>
      <c r="J247" s="69"/>
      <c r="K247" s="69"/>
      <c r="L247" s="69"/>
      <c r="M247" s="69"/>
      <c r="N247" s="69"/>
      <c r="O247" s="69"/>
      <c r="P247" s="69"/>
      <c r="Q247" s="69"/>
      <c r="R247" s="69"/>
      <c r="S247" s="69"/>
      <c r="T247" s="69"/>
      <c r="U247" s="69"/>
      <c r="V247" s="59">
        <v>300</v>
      </c>
    </row>
    <row r="248" spans="1:22" s="40" customFormat="1" ht="12.75">
      <c r="A248" s="130" t="s">
        <v>135</v>
      </c>
      <c r="B248" s="36"/>
      <c r="C248" s="37"/>
      <c r="D248" s="37"/>
      <c r="E248" s="37"/>
      <c r="F248" s="37"/>
      <c r="G248" s="37"/>
      <c r="H248" s="38">
        <v>0</v>
      </c>
      <c r="I248" s="36"/>
      <c r="J248" s="37"/>
      <c r="K248" s="37"/>
      <c r="L248" s="37"/>
      <c r="M248" s="37"/>
      <c r="N248" s="37"/>
      <c r="O248" s="37"/>
      <c r="P248" s="37"/>
      <c r="Q248" s="37"/>
      <c r="R248" s="37"/>
      <c r="S248" s="37"/>
      <c r="T248" s="37"/>
      <c r="U248" s="37"/>
      <c r="V248" s="39">
        <v>0</v>
      </c>
    </row>
    <row r="249" spans="1:22" s="40" customFormat="1" ht="12.75">
      <c r="A249" s="31" t="s">
        <v>136</v>
      </c>
      <c r="B249" s="68"/>
      <c r="C249" s="69"/>
      <c r="D249" s="69"/>
      <c r="E249" s="69"/>
      <c r="F249" s="69"/>
      <c r="G249" s="69"/>
      <c r="H249" s="70">
        <v>0</v>
      </c>
      <c r="I249" s="68"/>
      <c r="J249" s="69"/>
      <c r="K249" s="69"/>
      <c r="L249" s="69"/>
      <c r="M249" s="69"/>
      <c r="N249" s="69"/>
      <c r="O249" s="69"/>
      <c r="P249" s="69"/>
      <c r="Q249" s="69"/>
      <c r="R249" s="69"/>
      <c r="S249" s="69"/>
      <c r="T249" s="69"/>
      <c r="U249" s="69"/>
      <c r="V249" s="59">
        <v>0</v>
      </c>
    </row>
    <row r="250" spans="1:22" s="40" customFormat="1" ht="12.75">
      <c r="A250" s="129" t="s">
        <v>137</v>
      </c>
      <c r="B250" s="36"/>
      <c r="C250" s="37"/>
      <c r="D250" s="37"/>
      <c r="E250" s="37"/>
      <c r="F250" s="37"/>
      <c r="G250" s="37"/>
      <c r="H250" s="38">
        <v>0</v>
      </c>
      <c r="I250" s="36" t="s">
        <v>172</v>
      </c>
      <c r="J250" s="37"/>
      <c r="K250" s="37"/>
      <c r="L250" s="37"/>
      <c r="M250" s="37"/>
      <c r="N250" s="37"/>
      <c r="O250" s="37"/>
      <c r="P250" s="37"/>
      <c r="Q250" s="37"/>
      <c r="R250" s="37"/>
      <c r="S250" s="37"/>
      <c r="T250" s="37"/>
      <c r="U250" s="37"/>
      <c r="V250" s="39">
        <v>130</v>
      </c>
    </row>
    <row r="251" spans="1:22" s="40" customFormat="1" ht="25.5" customHeight="1">
      <c r="A251" s="55" t="s">
        <v>138</v>
      </c>
      <c r="B251" s="547" t="s">
        <v>212</v>
      </c>
      <c r="C251" s="548"/>
      <c r="D251" s="548"/>
      <c r="E251" s="548"/>
      <c r="F251" s="548"/>
      <c r="G251" s="549"/>
      <c r="H251" s="71">
        <v>302</v>
      </c>
      <c r="I251" s="48" t="s">
        <v>192</v>
      </c>
      <c r="J251" s="131"/>
      <c r="K251" s="131"/>
      <c r="L251" s="131"/>
      <c r="M251" s="131"/>
      <c r="N251" s="131"/>
      <c r="O251" s="131"/>
      <c r="P251" s="131"/>
      <c r="Q251" s="131"/>
      <c r="R251" s="131"/>
      <c r="S251" s="131"/>
      <c r="T251" s="131"/>
      <c r="U251" s="131"/>
      <c r="V251" s="58">
        <v>160</v>
      </c>
    </row>
    <row r="252" spans="1:22" ht="23.25" customHeight="1">
      <c r="A252" s="130" t="s">
        <v>139</v>
      </c>
      <c r="B252" s="444"/>
      <c r="C252" s="476"/>
      <c r="D252" s="476"/>
      <c r="E252" s="476"/>
      <c r="F252" s="476"/>
      <c r="G252" s="477"/>
      <c r="H252" s="34">
        <v>0</v>
      </c>
      <c r="I252" s="51"/>
      <c r="J252" s="33"/>
      <c r="K252" s="33"/>
      <c r="L252" s="33"/>
      <c r="M252" s="33"/>
      <c r="N252" s="33"/>
      <c r="O252" s="33"/>
      <c r="P252" s="33"/>
      <c r="Q252" s="33"/>
      <c r="R252" s="33"/>
      <c r="S252" s="33"/>
      <c r="T252" s="33"/>
      <c r="U252" s="33"/>
      <c r="V252" s="35">
        <v>0</v>
      </c>
    </row>
    <row r="253" spans="1:22" s="40" customFormat="1" ht="22.5" customHeight="1">
      <c r="A253" s="143" t="s">
        <v>140</v>
      </c>
      <c r="B253" s="444" t="s">
        <v>213</v>
      </c>
      <c r="C253" s="476"/>
      <c r="D253" s="476"/>
      <c r="E253" s="476"/>
      <c r="F253" s="476"/>
      <c r="G253" s="477"/>
      <c r="H253" s="38">
        <v>500</v>
      </c>
      <c r="I253" s="36"/>
      <c r="J253" s="37"/>
      <c r="K253" s="37"/>
      <c r="L253" s="37"/>
      <c r="M253" s="37"/>
      <c r="N253" s="37"/>
      <c r="O253" s="37"/>
      <c r="P253" s="37"/>
      <c r="Q253" s="37"/>
      <c r="R253" s="37"/>
      <c r="S253" s="37"/>
      <c r="T253" s="37"/>
      <c r="U253" s="37"/>
      <c r="V253" s="39">
        <v>0</v>
      </c>
    </row>
    <row r="254" spans="1:22" ht="14.25" customHeight="1">
      <c r="A254" s="144" t="s">
        <v>141</v>
      </c>
      <c r="B254" s="131"/>
      <c r="C254" s="46"/>
      <c r="D254" s="46"/>
      <c r="E254" s="46"/>
      <c r="F254" s="46"/>
      <c r="G254" s="46"/>
      <c r="H254" s="47">
        <v>0</v>
      </c>
      <c r="I254" s="48"/>
      <c r="J254" s="46"/>
      <c r="K254" s="46"/>
      <c r="L254" s="46"/>
      <c r="M254" s="46"/>
      <c r="N254" s="46"/>
      <c r="O254" s="46"/>
      <c r="P254" s="46"/>
      <c r="Q254" s="46"/>
      <c r="R254" s="46"/>
      <c r="S254" s="46"/>
      <c r="T254" s="46"/>
      <c r="U254" s="46"/>
      <c r="V254" s="49">
        <v>0</v>
      </c>
    </row>
    <row r="255" spans="1:22" s="40" customFormat="1" ht="16.5" customHeight="1" thickBot="1">
      <c r="A255" s="137" t="s">
        <v>142</v>
      </c>
      <c r="B255" s="61" t="s">
        <v>214</v>
      </c>
      <c r="C255" s="62"/>
      <c r="D255" s="62"/>
      <c r="E255" s="62"/>
      <c r="F255" s="62"/>
      <c r="G255" s="62"/>
      <c r="H255" s="63">
        <v>75</v>
      </c>
      <c r="I255" s="62"/>
      <c r="J255" s="62"/>
      <c r="K255" s="62"/>
      <c r="L255" s="62"/>
      <c r="M255" s="62"/>
      <c r="N255" s="62"/>
      <c r="O255" s="62"/>
      <c r="P255" s="62"/>
      <c r="Q255" s="62"/>
      <c r="R255" s="62"/>
      <c r="S255" s="62"/>
      <c r="T255" s="62"/>
      <c r="U255" s="62"/>
      <c r="V255" s="64">
        <v>0</v>
      </c>
    </row>
    <row r="256" spans="1:22" ht="12" customHeight="1">
      <c r="A256" s="138"/>
      <c r="B256" s="104"/>
      <c r="C256" s="104"/>
      <c r="E256" s="104"/>
      <c r="F256" s="104"/>
      <c r="G256" s="85"/>
      <c r="H256" s="128"/>
      <c r="I256" s="104"/>
      <c r="J256" s="104"/>
      <c r="K256" s="104"/>
      <c r="L256" s="104"/>
      <c r="M256" s="104"/>
      <c r="N256" s="104"/>
      <c r="O256" s="104"/>
      <c r="P256" s="104"/>
      <c r="Q256" s="104"/>
      <c r="R256" s="104"/>
      <c r="S256" s="104"/>
      <c r="T256" s="104"/>
      <c r="U256" s="104"/>
      <c r="V256" s="128"/>
    </row>
  </sheetData>
  <sheetProtection/>
  <mergeCells count="235">
    <mergeCell ref="B177:G177"/>
    <mergeCell ref="B188:G188"/>
    <mergeCell ref="C50:C52"/>
    <mergeCell ref="B50:B52"/>
    <mergeCell ref="B183:G184"/>
    <mergeCell ref="C93:C95"/>
    <mergeCell ref="D93:D95"/>
    <mergeCell ref="E51:E52"/>
    <mergeCell ref="F51:F52"/>
    <mergeCell ref="G51:G52"/>
    <mergeCell ref="H51:H52"/>
    <mergeCell ref="B253:G253"/>
    <mergeCell ref="V153:V154"/>
    <mergeCell ref="I156:U157"/>
    <mergeCell ref="V156:V157"/>
    <mergeCell ref="I230:U231"/>
    <mergeCell ref="V230:V231"/>
    <mergeCell ref="I189:U190"/>
    <mergeCell ref="V189:V190"/>
    <mergeCell ref="I178:U179"/>
    <mergeCell ref="B208:G208"/>
    <mergeCell ref="O119:P119"/>
    <mergeCell ref="A125:V125"/>
    <mergeCell ref="O123:P123"/>
    <mergeCell ref="I123:J123"/>
    <mergeCell ref="I120:J120"/>
    <mergeCell ref="O120:P120"/>
    <mergeCell ref="C119:D119"/>
    <mergeCell ref="I182:U182"/>
    <mergeCell ref="I183:U184"/>
    <mergeCell ref="M50:M52"/>
    <mergeCell ref="K6:K8"/>
    <mergeCell ref="N50:N52"/>
    <mergeCell ref="J50:J52"/>
    <mergeCell ref="K50:K52"/>
    <mergeCell ref="L50:L52"/>
    <mergeCell ref="A48:V48"/>
    <mergeCell ref="Q50:Q52"/>
    <mergeCell ref="P50:P52"/>
    <mergeCell ref="V50:V52"/>
    <mergeCell ref="R1:V1"/>
    <mergeCell ref="R2:V2"/>
    <mergeCell ref="A3:V3"/>
    <mergeCell ref="E7:E8"/>
    <mergeCell ref="O5:R5"/>
    <mergeCell ref="S5:V5"/>
    <mergeCell ref="B6:B8"/>
    <mergeCell ref="Q6:Q8"/>
    <mergeCell ref="H7:H8"/>
    <mergeCell ref="F7:F8"/>
    <mergeCell ref="Y128:Z128"/>
    <mergeCell ref="Y129:Z129"/>
    <mergeCell ref="Y130:Z130"/>
    <mergeCell ref="Y131:Z131"/>
    <mergeCell ref="Y125:Z125"/>
    <mergeCell ref="I126:U127"/>
    <mergeCell ref="Y126:Z126"/>
    <mergeCell ref="Y127:Z127"/>
    <mergeCell ref="V180:V181"/>
    <mergeCell ref="I180:U181"/>
    <mergeCell ref="Y165:Z165"/>
    <mergeCell ref="Y132:Z132"/>
    <mergeCell ref="Y133:Z133"/>
    <mergeCell ref="I146:U146"/>
    <mergeCell ref="I147:M147"/>
    <mergeCell ref="I174:U175"/>
    <mergeCell ref="V174:V175"/>
    <mergeCell ref="I172:U173"/>
    <mergeCell ref="H183:H184"/>
    <mergeCell ref="B182:G182"/>
    <mergeCell ref="H189:H190"/>
    <mergeCell ref="B187:G187"/>
    <mergeCell ref="H185:H186"/>
    <mergeCell ref="V183:V184"/>
    <mergeCell ref="I208:U208"/>
    <mergeCell ref="B209:G209"/>
    <mergeCell ref="V193:V194"/>
    <mergeCell ref="I185:U186"/>
    <mergeCell ref="I195:U195"/>
    <mergeCell ref="V185:V186"/>
    <mergeCell ref="H193:H194"/>
    <mergeCell ref="I193:U194"/>
    <mergeCell ref="I196:U198"/>
    <mergeCell ref="I188:U188"/>
    <mergeCell ref="I203:U203"/>
    <mergeCell ref="B204:G204"/>
    <mergeCell ref="B205:G205"/>
    <mergeCell ref="B206:G206"/>
    <mergeCell ref="I206:U206"/>
    <mergeCell ref="B203:G203"/>
    <mergeCell ref="I204:U204"/>
    <mergeCell ref="I211:U211"/>
    <mergeCell ref="H220:H222"/>
    <mergeCell ref="A230:A231"/>
    <mergeCell ref="I213:U214"/>
    <mergeCell ref="B216:G216"/>
    <mergeCell ref="I216:U216"/>
    <mergeCell ref="I212:U212"/>
    <mergeCell ref="Y237:Z237"/>
    <mergeCell ref="I238:U239"/>
    <mergeCell ref="Y238:Z238"/>
    <mergeCell ref="Y239:Z239"/>
    <mergeCell ref="V213:V214"/>
    <mergeCell ref="B215:G215"/>
    <mergeCell ref="B213:G214"/>
    <mergeCell ref="H213:H214"/>
    <mergeCell ref="B252:G252"/>
    <mergeCell ref="B247:G247"/>
    <mergeCell ref="B189:G190"/>
    <mergeCell ref="B245:G245"/>
    <mergeCell ref="B230:G231"/>
    <mergeCell ref="A237:V237"/>
    <mergeCell ref="B234:G235"/>
    <mergeCell ref="H234:H235"/>
    <mergeCell ref="I234:U235"/>
    <mergeCell ref="A234:A235"/>
    <mergeCell ref="S49:V49"/>
    <mergeCell ref="B251:G251"/>
    <mergeCell ref="V234:V235"/>
    <mergeCell ref="H230:H231"/>
    <mergeCell ref="A220:A222"/>
    <mergeCell ref="I220:U222"/>
    <mergeCell ref="V220:V222"/>
    <mergeCell ref="B220:G222"/>
    <mergeCell ref="I245:U245"/>
    <mergeCell ref="B210:G210"/>
    <mergeCell ref="J6:J8"/>
    <mergeCell ref="I93:I95"/>
    <mergeCell ref="B93:B95"/>
    <mergeCell ref="P6:P8"/>
    <mergeCell ref="S92:V92"/>
    <mergeCell ref="R6:R8"/>
    <mergeCell ref="R50:R52"/>
    <mergeCell ref="O92:R92"/>
    <mergeCell ref="O50:O52"/>
    <mergeCell ref="S50:S52"/>
    <mergeCell ref="T50:T52"/>
    <mergeCell ref="V6:V8"/>
    <mergeCell ref="C6:C8"/>
    <mergeCell ref="D6:D8"/>
    <mergeCell ref="G7:G8"/>
    <mergeCell ref="I6:I8"/>
    <mergeCell ref="L6:L8"/>
    <mergeCell ref="M6:M8"/>
    <mergeCell ref="N6:N8"/>
    <mergeCell ref="O6:O8"/>
    <mergeCell ref="G94:G95"/>
    <mergeCell ref="I50:I52"/>
    <mergeCell ref="T93:T95"/>
    <mergeCell ref="U93:U95"/>
    <mergeCell ref="Q93:Q95"/>
    <mergeCell ref="T6:T8"/>
    <mergeCell ref="U6:U8"/>
    <mergeCell ref="S6:S8"/>
    <mergeCell ref="O49:R49"/>
    <mergeCell ref="U50:U52"/>
    <mergeCell ref="H172:H173"/>
    <mergeCell ref="M93:M95"/>
    <mergeCell ref="V93:V95"/>
    <mergeCell ref="A91:V91"/>
    <mergeCell ref="D50:D52"/>
    <mergeCell ref="H94:H95"/>
    <mergeCell ref="J93:J95"/>
    <mergeCell ref="K93:K95"/>
    <mergeCell ref="E94:E95"/>
    <mergeCell ref="F94:F95"/>
    <mergeCell ref="L93:L95"/>
    <mergeCell ref="S93:S95"/>
    <mergeCell ref="R93:R95"/>
    <mergeCell ref="P93:P95"/>
    <mergeCell ref="N93:N95"/>
    <mergeCell ref="O93:O95"/>
    <mergeCell ref="V172:V173"/>
    <mergeCell ref="H178:H179"/>
    <mergeCell ref="V167:V168"/>
    <mergeCell ref="A167:A168"/>
    <mergeCell ref="I167:U168"/>
    <mergeCell ref="H167:H168"/>
    <mergeCell ref="B167:G168"/>
    <mergeCell ref="A174:A175"/>
    <mergeCell ref="A172:A173"/>
    <mergeCell ref="B172:G173"/>
    <mergeCell ref="Y202:Z202"/>
    <mergeCell ref="B196:G198"/>
    <mergeCell ref="H196:H198"/>
    <mergeCell ref="Y201:Z201"/>
    <mergeCell ref="A200:V200"/>
    <mergeCell ref="I201:U202"/>
    <mergeCell ref="A196:A198"/>
    <mergeCell ref="V196:V198"/>
    <mergeCell ref="V149:V150"/>
    <mergeCell ref="B149:G150"/>
    <mergeCell ref="H149:H150"/>
    <mergeCell ref="Y164:Z164"/>
    <mergeCell ref="B158:G159"/>
    <mergeCell ref="H158:H159"/>
    <mergeCell ref="I158:U159"/>
    <mergeCell ref="V158:V159"/>
    <mergeCell ref="B153:G154"/>
    <mergeCell ref="I149:U150"/>
    <mergeCell ref="A149:A150"/>
    <mergeCell ref="B156:G157"/>
    <mergeCell ref="H156:H157"/>
    <mergeCell ref="A153:A154"/>
    <mergeCell ref="H153:H154"/>
    <mergeCell ref="A156:A157"/>
    <mergeCell ref="B155:G155"/>
    <mergeCell ref="A183:A184"/>
    <mergeCell ref="B185:G186"/>
    <mergeCell ref="B180:G181"/>
    <mergeCell ref="I215:U215"/>
    <mergeCell ref="A213:A214"/>
    <mergeCell ref="B195:G195"/>
    <mergeCell ref="A185:A186"/>
    <mergeCell ref="A193:A194"/>
    <mergeCell ref="B193:G194"/>
    <mergeCell ref="A189:A190"/>
    <mergeCell ref="A158:A159"/>
    <mergeCell ref="H180:H181"/>
    <mergeCell ref="A178:A179"/>
    <mergeCell ref="A180:A181"/>
    <mergeCell ref="B178:G179"/>
    <mergeCell ref="B174:G175"/>
    <mergeCell ref="H174:H175"/>
    <mergeCell ref="A163:V163"/>
    <mergeCell ref="I164:U165"/>
    <mergeCell ref="V178:V179"/>
    <mergeCell ref="B160:G160"/>
    <mergeCell ref="I161:U161"/>
    <mergeCell ref="B144:G144"/>
    <mergeCell ref="I144:U144"/>
    <mergeCell ref="B147:G147"/>
    <mergeCell ref="I148:U148"/>
    <mergeCell ref="I153:U154"/>
    <mergeCell ref="I151:U151"/>
  </mergeCells>
  <printOptions horizontalCentered="1" verticalCentered="1"/>
  <pageMargins left="0.2755905511811024" right="0.2755905511811024" top="0.3937007874015748" bottom="0.35433070866141736" header="0.11811023622047245" footer="0.11811023622047245"/>
  <pageSetup firstPageNumber="1" useFirstPageNumber="1" horizontalDpi="600" verticalDpi="600" orientation="landscape" paperSize="9" scale="66" r:id="rId1"/>
  <headerFooter alignWithMargins="0">
    <oddFooter>&amp;C&amp;P</oddFooter>
  </headerFooter>
  <rowBreaks count="6" manualBreakCount="6">
    <brk id="47" max="21" man="1"/>
    <brk id="90" max="255" man="1"/>
    <brk id="124" max="21" man="1"/>
    <brk id="162" max="21" man="1"/>
    <brk id="199" max="21" man="1"/>
    <brk id="235" max="21" man="1"/>
  </rowBreaks>
</worksheet>
</file>

<file path=xl/worksheets/sheet2.xml><?xml version="1.0" encoding="utf-8"?>
<worksheet xmlns="http://schemas.openxmlformats.org/spreadsheetml/2006/main" xmlns:r="http://schemas.openxmlformats.org/officeDocument/2006/relationships">
  <dimension ref="A1:IV257"/>
  <sheetViews>
    <sheetView showGridLines="0" zoomScalePageLayoutView="0" workbookViewId="0" topLeftCell="A1">
      <pane xSplit="1" ySplit="8" topLeftCell="B63" activePane="bottomRight" state="frozen"/>
      <selection pane="topLeft" activeCell="A1" sqref="A1"/>
      <selection pane="topRight" activeCell="B1" sqref="B1"/>
      <selection pane="bottomLeft" activeCell="A9" sqref="A9"/>
      <selection pane="bottomRight" activeCell="F73" sqref="F73"/>
    </sheetView>
  </sheetViews>
  <sheetFormatPr defaultColWidth="9.00390625" defaultRowHeight="12.75"/>
  <cols>
    <col min="1" max="1" width="59.75390625" style="8" customWidth="1"/>
    <col min="2" max="22" width="7.25390625" style="8" customWidth="1"/>
    <col min="23" max="16384" width="9.125" style="8" customWidth="1"/>
  </cols>
  <sheetData>
    <row r="1" spans="1:22" s="367" customFormat="1" ht="12.75" customHeight="1">
      <c r="A1" s="369"/>
      <c r="B1" s="371"/>
      <c r="C1" s="371"/>
      <c r="D1" s="371"/>
      <c r="E1" s="370"/>
      <c r="F1" s="371"/>
      <c r="G1" s="370"/>
      <c r="H1" s="370"/>
      <c r="I1" s="370"/>
      <c r="J1" s="371"/>
      <c r="K1" s="370"/>
      <c r="L1" s="370"/>
      <c r="M1" s="370" t="s">
        <v>16</v>
      </c>
      <c r="N1" s="370"/>
      <c r="O1" s="371"/>
      <c r="P1" s="370"/>
      <c r="Q1" s="370"/>
      <c r="R1" s="680" t="s">
        <v>151</v>
      </c>
      <c r="S1" s="680"/>
      <c r="T1" s="680"/>
      <c r="U1" s="680"/>
      <c r="V1" s="680"/>
    </row>
    <row r="2" spans="1:22" ht="12.75" customHeight="1">
      <c r="A2" s="157" t="s">
        <v>16</v>
      </c>
      <c r="B2" s="158" t="s">
        <v>16</v>
      </c>
      <c r="C2" s="158" t="s">
        <v>16</v>
      </c>
      <c r="D2" s="158"/>
      <c r="E2" s="158"/>
      <c r="F2" s="159"/>
      <c r="G2" s="158"/>
      <c r="H2" s="158"/>
      <c r="I2" s="158"/>
      <c r="J2" s="158"/>
      <c r="K2" s="158"/>
      <c r="L2" s="158"/>
      <c r="M2" s="158"/>
      <c r="N2" s="158"/>
      <c r="O2" s="158"/>
      <c r="P2" s="158"/>
      <c r="Q2" s="158"/>
      <c r="R2" s="656" t="s">
        <v>102</v>
      </c>
      <c r="S2" s="656"/>
      <c r="T2" s="656"/>
      <c r="U2" s="656"/>
      <c r="V2" s="656"/>
    </row>
    <row r="3" spans="1:22" ht="16.5" customHeight="1">
      <c r="A3" s="657" t="s">
        <v>144</v>
      </c>
      <c r="B3" s="657"/>
      <c r="C3" s="657"/>
      <c r="D3" s="657"/>
      <c r="E3" s="657"/>
      <c r="F3" s="657"/>
      <c r="G3" s="657"/>
      <c r="H3" s="657"/>
      <c r="I3" s="657"/>
      <c r="J3" s="657"/>
      <c r="K3" s="657"/>
      <c r="L3" s="657"/>
      <c r="M3" s="657"/>
      <c r="N3" s="657"/>
      <c r="O3" s="657"/>
      <c r="P3" s="657"/>
      <c r="Q3" s="657"/>
      <c r="R3" s="657"/>
      <c r="S3" s="657"/>
      <c r="T3" s="657"/>
      <c r="U3" s="657"/>
      <c r="V3" s="657"/>
    </row>
    <row r="4" spans="1:22" ht="15" customHeight="1" thickBot="1">
      <c r="A4" s="160" t="s">
        <v>51</v>
      </c>
      <c r="B4" s="161"/>
      <c r="C4" s="161"/>
      <c r="D4" s="162"/>
      <c r="E4" s="162"/>
      <c r="F4" s="162"/>
      <c r="G4" s="162"/>
      <c r="H4" s="162"/>
      <c r="I4" s="162"/>
      <c r="J4" s="162"/>
      <c r="K4" s="162"/>
      <c r="L4" s="162"/>
      <c r="M4" s="162"/>
      <c r="N4" s="162"/>
      <c r="O4" s="162"/>
      <c r="P4" s="162"/>
      <c r="Q4" s="162"/>
      <c r="R4" s="162"/>
      <c r="S4" s="162"/>
      <c r="T4" s="162"/>
      <c r="U4" s="162"/>
      <c r="V4" s="163" t="s">
        <v>8</v>
      </c>
    </row>
    <row r="5" spans="1:22" ht="12.75">
      <c r="A5" s="3"/>
      <c r="B5" s="4" t="s">
        <v>9</v>
      </c>
      <c r="C5" s="5"/>
      <c r="D5" s="5"/>
      <c r="E5" s="5"/>
      <c r="F5" s="5"/>
      <c r="G5" s="5"/>
      <c r="H5" s="5"/>
      <c r="I5" s="6"/>
      <c r="J5" s="4" t="s">
        <v>10</v>
      </c>
      <c r="K5" s="5"/>
      <c r="L5" s="7"/>
      <c r="M5" s="5"/>
      <c r="N5" s="6"/>
      <c r="O5" s="542" t="s">
        <v>11</v>
      </c>
      <c r="P5" s="543"/>
      <c r="Q5" s="543"/>
      <c r="R5" s="544"/>
      <c r="S5" s="542" t="s">
        <v>12</v>
      </c>
      <c r="T5" s="545"/>
      <c r="U5" s="545"/>
      <c r="V5" s="546"/>
    </row>
    <row r="6" spans="1:23" s="13" customFormat="1" ht="14.25" customHeight="1">
      <c r="A6" s="9" t="s">
        <v>0</v>
      </c>
      <c r="B6" s="525" t="s">
        <v>146</v>
      </c>
      <c r="C6" s="537" t="s">
        <v>147</v>
      </c>
      <c r="D6" s="522" t="s">
        <v>78</v>
      </c>
      <c r="E6" s="10" t="s">
        <v>13</v>
      </c>
      <c r="F6" s="10"/>
      <c r="G6" s="10"/>
      <c r="H6" s="11"/>
      <c r="I6" s="528" t="s">
        <v>193</v>
      </c>
      <c r="J6" s="525" t="s">
        <v>146</v>
      </c>
      <c r="K6" s="537" t="s">
        <v>194</v>
      </c>
      <c r="L6" s="522" t="s">
        <v>80</v>
      </c>
      <c r="M6" s="534" t="s">
        <v>81</v>
      </c>
      <c r="N6" s="528" t="s">
        <v>148</v>
      </c>
      <c r="O6" s="525" t="s">
        <v>149</v>
      </c>
      <c r="P6" s="531" t="s">
        <v>150</v>
      </c>
      <c r="Q6" s="534" t="s">
        <v>81</v>
      </c>
      <c r="R6" s="528" t="s">
        <v>193</v>
      </c>
      <c r="S6" s="525" t="s">
        <v>149</v>
      </c>
      <c r="T6" s="531" t="s">
        <v>150</v>
      </c>
      <c r="U6" s="534" t="s">
        <v>81</v>
      </c>
      <c r="V6" s="528" t="s">
        <v>193</v>
      </c>
      <c r="W6" s="12" t="s">
        <v>16</v>
      </c>
    </row>
    <row r="7" spans="1:22" ht="12.75" customHeight="1">
      <c r="A7" s="14"/>
      <c r="B7" s="526"/>
      <c r="C7" s="538" t="s">
        <v>30</v>
      </c>
      <c r="D7" s="523"/>
      <c r="E7" s="540" t="s">
        <v>87</v>
      </c>
      <c r="F7" s="540" t="s">
        <v>59</v>
      </c>
      <c r="G7" s="540" t="s">
        <v>60</v>
      </c>
      <c r="H7" s="534" t="s">
        <v>79</v>
      </c>
      <c r="I7" s="529"/>
      <c r="J7" s="526"/>
      <c r="K7" s="538" t="s">
        <v>30</v>
      </c>
      <c r="L7" s="523"/>
      <c r="M7" s="535"/>
      <c r="N7" s="529"/>
      <c r="O7" s="526"/>
      <c r="P7" s="532"/>
      <c r="Q7" s="535"/>
      <c r="R7" s="529"/>
      <c r="S7" s="526"/>
      <c r="T7" s="532"/>
      <c r="U7" s="535"/>
      <c r="V7" s="529"/>
    </row>
    <row r="8" spans="1:22" ht="53.25" customHeight="1" thickBot="1">
      <c r="A8" s="15" t="s">
        <v>16</v>
      </c>
      <c r="B8" s="527"/>
      <c r="C8" s="539" t="s">
        <v>58</v>
      </c>
      <c r="D8" s="524"/>
      <c r="E8" s="541"/>
      <c r="F8" s="541"/>
      <c r="G8" s="541"/>
      <c r="H8" s="536"/>
      <c r="I8" s="530"/>
      <c r="J8" s="527"/>
      <c r="K8" s="539" t="s">
        <v>58</v>
      </c>
      <c r="L8" s="524"/>
      <c r="M8" s="536"/>
      <c r="N8" s="530"/>
      <c r="O8" s="527"/>
      <c r="P8" s="533"/>
      <c r="Q8" s="536"/>
      <c r="R8" s="530"/>
      <c r="S8" s="527"/>
      <c r="T8" s="533"/>
      <c r="U8" s="536"/>
      <c r="V8" s="530"/>
    </row>
    <row r="9" spans="1:22" s="42" customFormat="1" ht="13.5" thickBot="1">
      <c r="A9" s="164" t="s">
        <v>245</v>
      </c>
      <c r="B9" s="165">
        <f aca="true" t="shared" si="0" ref="B9:V9">SUM(B10+B25+B40+B64+B81+B83+B85+B96+B98+B101+B103+B105+B107)</f>
        <v>47128</v>
      </c>
      <c r="C9" s="165">
        <f t="shared" si="0"/>
        <v>38813</v>
      </c>
      <c r="D9" s="165">
        <f t="shared" si="0"/>
        <v>74052</v>
      </c>
      <c r="E9" s="165">
        <f t="shared" si="0"/>
        <v>32324</v>
      </c>
      <c r="F9" s="165">
        <f t="shared" si="0"/>
        <v>8626</v>
      </c>
      <c r="G9" s="165">
        <f t="shared" si="0"/>
        <v>10220</v>
      </c>
      <c r="H9" s="165">
        <f t="shared" si="0"/>
        <v>82242</v>
      </c>
      <c r="I9" s="165">
        <f t="shared" si="0"/>
        <v>38938</v>
      </c>
      <c r="J9" s="165">
        <f t="shared" si="0"/>
        <v>38802</v>
      </c>
      <c r="K9" s="165">
        <f t="shared" si="0"/>
        <v>31250</v>
      </c>
      <c r="L9" s="165">
        <f t="shared" si="0"/>
        <v>10272</v>
      </c>
      <c r="M9" s="165">
        <f t="shared" si="0"/>
        <v>22630</v>
      </c>
      <c r="N9" s="165">
        <f t="shared" si="0"/>
        <v>26444</v>
      </c>
      <c r="O9" s="165">
        <f t="shared" si="0"/>
        <v>26619</v>
      </c>
      <c r="P9" s="165">
        <f t="shared" si="0"/>
        <v>24723</v>
      </c>
      <c r="Q9" s="165">
        <f t="shared" si="0"/>
        <v>17940</v>
      </c>
      <c r="R9" s="165">
        <f t="shared" si="0"/>
        <v>8679</v>
      </c>
      <c r="S9" s="165">
        <f t="shared" si="0"/>
        <v>11914</v>
      </c>
      <c r="T9" s="165">
        <f t="shared" si="0"/>
        <v>11884</v>
      </c>
      <c r="U9" s="165">
        <f t="shared" si="0"/>
        <v>4233</v>
      </c>
      <c r="V9" s="165">
        <f t="shared" si="0"/>
        <v>7681</v>
      </c>
    </row>
    <row r="10" spans="1:22" s="86" customFormat="1" ht="13.5" thickBot="1">
      <c r="A10" s="166" t="s">
        <v>14</v>
      </c>
      <c r="B10" s="167">
        <f aca="true" t="shared" si="1" ref="B10:V10">SUM(B11:B24)</f>
        <v>1988</v>
      </c>
      <c r="C10" s="165">
        <f t="shared" si="1"/>
        <v>1988</v>
      </c>
      <c r="D10" s="165">
        <f t="shared" si="1"/>
        <v>1674</v>
      </c>
      <c r="E10" s="165">
        <f t="shared" si="1"/>
        <v>852</v>
      </c>
      <c r="F10" s="165">
        <f t="shared" si="1"/>
        <v>0</v>
      </c>
      <c r="G10" s="165">
        <f t="shared" si="1"/>
        <v>0</v>
      </c>
      <c r="H10" s="165">
        <f t="shared" si="1"/>
        <v>1350</v>
      </c>
      <c r="I10" s="29">
        <f t="shared" si="1"/>
        <v>2312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104</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114</v>
      </c>
      <c r="B12" s="168">
        <v>257</v>
      </c>
      <c r="C12" s="169">
        <v>257</v>
      </c>
      <c r="D12" s="169">
        <v>155</v>
      </c>
      <c r="E12" s="170">
        <v>350</v>
      </c>
      <c r="F12" s="170">
        <v>0</v>
      </c>
      <c r="G12" s="170">
        <v>0</v>
      </c>
      <c r="H12" s="171">
        <v>396</v>
      </c>
      <c r="I12" s="38">
        <f aca="true" t="shared" si="2" ref="I12:I24">B12+D12-H12</f>
        <v>16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42</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105</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57</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106</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103</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111</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112</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168</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107</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108</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109</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110</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15</v>
      </c>
      <c r="B25" s="167">
        <f>SUM(B26:B39)</f>
        <v>9883</v>
      </c>
      <c r="C25" s="165">
        <f aca="true" t="shared" si="6" ref="C25:V25">SUM(C26:C39)</f>
        <v>9883</v>
      </c>
      <c r="D25" s="165">
        <f t="shared" si="6"/>
        <v>12214</v>
      </c>
      <c r="E25" s="165">
        <f t="shared" si="6"/>
        <v>2110</v>
      </c>
      <c r="F25" s="165">
        <f t="shared" si="6"/>
        <v>325</v>
      </c>
      <c r="G25" s="165">
        <f t="shared" si="6"/>
        <v>1075</v>
      </c>
      <c r="H25" s="165">
        <f t="shared" si="6"/>
        <v>11085</v>
      </c>
      <c r="I25" s="29">
        <f t="shared" si="6"/>
        <v>11012</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65</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1</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143</v>
      </c>
      <c r="B28" s="326">
        <v>1101</v>
      </c>
      <c r="C28" s="327">
        <v>1101</v>
      </c>
      <c r="D28" s="327">
        <v>1904</v>
      </c>
      <c r="E28" s="328">
        <v>1030</v>
      </c>
      <c r="F28" s="328">
        <v>0</v>
      </c>
      <c r="G28" s="328">
        <v>0</v>
      </c>
      <c r="H28" s="329">
        <v>1917</v>
      </c>
      <c r="I28" s="330">
        <f t="shared" si="7"/>
        <v>1088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2</v>
      </c>
      <c r="B29" s="331">
        <v>745</v>
      </c>
      <c r="C29" s="332">
        <v>745</v>
      </c>
      <c r="D29" s="332">
        <v>735</v>
      </c>
      <c r="E29" s="333">
        <v>110</v>
      </c>
      <c r="F29" s="333">
        <v>0</v>
      </c>
      <c r="G29" s="333">
        <v>100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96</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98</v>
      </c>
      <c r="B31" s="326">
        <v>172</v>
      </c>
      <c r="C31" s="327">
        <v>172</v>
      </c>
      <c r="D31" s="327">
        <v>724</v>
      </c>
      <c r="E31" s="328">
        <v>430</v>
      </c>
      <c r="F31" s="328">
        <v>0</v>
      </c>
      <c r="G31" s="328">
        <v>63</v>
      </c>
      <c r="H31" s="329">
        <v>838</v>
      </c>
      <c r="I31" s="330">
        <f t="shared" si="7"/>
        <v>58</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3</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4</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99</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5</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82</v>
      </c>
      <c r="B36" s="347">
        <v>113</v>
      </c>
      <c r="C36" s="348">
        <v>113</v>
      </c>
      <c r="D36" s="349">
        <v>928</v>
      </c>
      <c r="E36" s="349">
        <v>0</v>
      </c>
      <c r="F36" s="349">
        <v>105</v>
      </c>
      <c r="G36" s="349">
        <v>120</v>
      </c>
      <c r="H36" s="349">
        <v>1041</v>
      </c>
      <c r="I36" s="351">
        <f t="shared" si="7"/>
        <v>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100</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31</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32</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17</v>
      </c>
      <c r="B40" s="167">
        <f aca="true" t="shared" si="11" ref="B40:V40">SUM(B41+B42+B43+B44+B45+B46+B53+B54+B55+B56+B57+B58+B59+B60+B61+B62+B63)</f>
        <v>8223</v>
      </c>
      <c r="C40" s="165">
        <f t="shared" si="11"/>
        <v>8149</v>
      </c>
      <c r="D40" s="165">
        <f t="shared" si="11"/>
        <v>23799</v>
      </c>
      <c r="E40" s="165">
        <f t="shared" si="11"/>
        <v>8146</v>
      </c>
      <c r="F40" s="165">
        <f t="shared" si="11"/>
        <v>3535</v>
      </c>
      <c r="G40" s="165">
        <f t="shared" si="11"/>
        <v>3939</v>
      </c>
      <c r="H40" s="192">
        <f t="shared" si="11"/>
        <v>25783</v>
      </c>
      <c r="I40" s="29">
        <f t="shared" si="11"/>
        <v>6239</v>
      </c>
      <c r="J40" s="167">
        <f t="shared" si="11"/>
        <v>8489</v>
      </c>
      <c r="K40" s="165">
        <f t="shared" si="11"/>
        <v>7099</v>
      </c>
      <c r="L40" s="165">
        <f t="shared" si="11"/>
        <v>2701</v>
      </c>
      <c r="M40" s="165">
        <f t="shared" si="11"/>
        <v>8432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115</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22.5">
      <c r="A42" s="57" t="s">
        <v>116</v>
      </c>
      <c r="B42" s="196">
        <v>41</v>
      </c>
      <c r="C42" s="197">
        <v>41</v>
      </c>
      <c r="D42" s="197">
        <v>1493</v>
      </c>
      <c r="E42" s="198">
        <v>800</v>
      </c>
      <c r="F42" s="198">
        <v>0</v>
      </c>
      <c r="G42" s="198">
        <v>200</v>
      </c>
      <c r="H42" s="199">
        <v>1527</v>
      </c>
      <c r="I42" s="47">
        <f>B42+D42-H42</f>
        <v>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117</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118</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119</v>
      </c>
      <c r="B45" s="196">
        <v>32</v>
      </c>
      <c r="C45" s="197">
        <v>32</v>
      </c>
      <c r="D45" s="197">
        <v>1941</v>
      </c>
      <c r="E45" s="198">
        <v>1304</v>
      </c>
      <c r="F45" s="198">
        <v>0</v>
      </c>
      <c r="G45" s="198">
        <v>484</v>
      </c>
      <c r="H45" s="199">
        <v>1973</v>
      </c>
      <c r="I45" s="47">
        <f t="shared" si="12"/>
        <v>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120</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61" t="s">
        <v>144</v>
      </c>
      <c r="B48" s="461"/>
      <c r="C48" s="461"/>
      <c r="D48" s="461"/>
      <c r="E48" s="461"/>
      <c r="F48" s="461"/>
      <c r="G48" s="461"/>
      <c r="H48" s="461"/>
      <c r="I48" s="461"/>
      <c r="J48" s="461"/>
      <c r="K48" s="461"/>
      <c r="L48" s="461"/>
      <c r="M48" s="461"/>
      <c r="N48" s="461"/>
      <c r="O48" s="461"/>
      <c r="P48" s="461"/>
      <c r="Q48" s="461"/>
      <c r="R48" s="461"/>
      <c r="S48" s="461"/>
      <c r="T48" s="461"/>
      <c r="U48" s="461"/>
      <c r="V48" s="461"/>
      <c r="W48" s="16"/>
    </row>
    <row r="49" spans="1:22" ht="12.75">
      <c r="A49" s="3"/>
      <c r="B49" s="4" t="s">
        <v>9</v>
      </c>
      <c r="C49" s="5"/>
      <c r="D49" s="5"/>
      <c r="E49" s="5"/>
      <c r="F49" s="5"/>
      <c r="G49" s="5"/>
      <c r="H49" s="5"/>
      <c r="I49" s="6"/>
      <c r="J49" s="4" t="s">
        <v>10</v>
      </c>
      <c r="K49" s="5"/>
      <c r="L49" s="7"/>
      <c r="M49" s="5"/>
      <c r="N49" s="6"/>
      <c r="O49" s="542" t="s">
        <v>11</v>
      </c>
      <c r="P49" s="543"/>
      <c r="Q49" s="543"/>
      <c r="R49" s="544"/>
      <c r="S49" s="542" t="s">
        <v>12</v>
      </c>
      <c r="T49" s="545"/>
      <c r="U49" s="545"/>
      <c r="V49" s="546"/>
    </row>
    <row r="50" spans="1:23" s="13" customFormat="1" ht="14.25" customHeight="1">
      <c r="A50" s="9" t="s">
        <v>0</v>
      </c>
      <c r="B50" s="525" t="s">
        <v>146</v>
      </c>
      <c r="C50" s="537" t="s">
        <v>147</v>
      </c>
      <c r="D50" s="522" t="s">
        <v>78</v>
      </c>
      <c r="E50" s="10" t="s">
        <v>13</v>
      </c>
      <c r="F50" s="10"/>
      <c r="G50" s="10"/>
      <c r="H50" s="11"/>
      <c r="I50" s="528" t="s">
        <v>148</v>
      </c>
      <c r="J50" s="525" t="s">
        <v>146</v>
      </c>
      <c r="K50" s="537" t="s">
        <v>147</v>
      </c>
      <c r="L50" s="522" t="s">
        <v>80</v>
      </c>
      <c r="M50" s="534" t="s">
        <v>81</v>
      </c>
      <c r="N50" s="528" t="s">
        <v>148</v>
      </c>
      <c r="O50" s="525" t="s">
        <v>149</v>
      </c>
      <c r="P50" s="531" t="s">
        <v>150</v>
      </c>
      <c r="Q50" s="534" t="s">
        <v>81</v>
      </c>
      <c r="R50" s="528" t="s">
        <v>148</v>
      </c>
      <c r="S50" s="525" t="s">
        <v>149</v>
      </c>
      <c r="T50" s="531" t="s">
        <v>150</v>
      </c>
      <c r="U50" s="534" t="s">
        <v>81</v>
      </c>
      <c r="V50" s="528" t="s">
        <v>148</v>
      </c>
      <c r="W50" s="12" t="s">
        <v>16</v>
      </c>
    </row>
    <row r="51" spans="1:22" ht="12.75" customHeight="1">
      <c r="A51" s="14"/>
      <c r="B51" s="526"/>
      <c r="C51" s="538" t="s">
        <v>30</v>
      </c>
      <c r="D51" s="523"/>
      <c r="E51" s="540" t="s">
        <v>87</v>
      </c>
      <c r="F51" s="540" t="s">
        <v>59</v>
      </c>
      <c r="G51" s="540" t="s">
        <v>60</v>
      </c>
      <c r="H51" s="534" t="s">
        <v>79</v>
      </c>
      <c r="I51" s="529"/>
      <c r="J51" s="526"/>
      <c r="K51" s="538" t="s">
        <v>30</v>
      </c>
      <c r="L51" s="523"/>
      <c r="M51" s="535"/>
      <c r="N51" s="529"/>
      <c r="O51" s="526"/>
      <c r="P51" s="532"/>
      <c r="Q51" s="535"/>
      <c r="R51" s="529"/>
      <c r="S51" s="526"/>
      <c r="T51" s="532"/>
      <c r="U51" s="535"/>
      <c r="V51" s="529"/>
    </row>
    <row r="52" spans="1:22" ht="53.25" customHeight="1" thickBot="1">
      <c r="A52" s="15" t="s">
        <v>16</v>
      </c>
      <c r="B52" s="527"/>
      <c r="C52" s="539" t="s">
        <v>58</v>
      </c>
      <c r="D52" s="524"/>
      <c r="E52" s="541"/>
      <c r="F52" s="541"/>
      <c r="G52" s="541"/>
      <c r="H52" s="536"/>
      <c r="I52" s="530"/>
      <c r="J52" s="527"/>
      <c r="K52" s="539" t="s">
        <v>58</v>
      </c>
      <c r="L52" s="524"/>
      <c r="M52" s="536"/>
      <c r="N52" s="530"/>
      <c r="O52" s="527"/>
      <c r="P52" s="533"/>
      <c r="Q52" s="536"/>
      <c r="R52" s="530"/>
      <c r="S52" s="527"/>
      <c r="T52" s="533"/>
      <c r="U52" s="536"/>
      <c r="V52" s="530"/>
    </row>
    <row r="53" spans="1:22" s="40" customFormat="1" ht="24" customHeight="1">
      <c r="A53" s="31" t="s">
        <v>121</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53</v>
      </c>
      <c r="B54" s="168">
        <v>90</v>
      </c>
      <c r="C54" s="169">
        <v>90</v>
      </c>
      <c r="D54" s="169">
        <v>682</v>
      </c>
      <c r="E54" s="170">
        <v>0</v>
      </c>
      <c r="F54" s="170">
        <v>0</v>
      </c>
      <c r="G54" s="170">
        <v>310</v>
      </c>
      <c r="H54" s="171">
        <f>772-33</f>
        <v>739</v>
      </c>
      <c r="I54" s="38">
        <f t="shared" si="16"/>
        <v>33</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83</v>
      </c>
      <c r="B55" s="168">
        <v>1489</v>
      </c>
      <c r="C55" s="212">
        <v>1489</v>
      </c>
      <c r="D55" s="212">
        <v>3167</v>
      </c>
      <c r="E55" s="213">
        <v>1830</v>
      </c>
      <c r="F55" s="213">
        <v>700</v>
      </c>
      <c r="G55" s="213">
        <v>0</v>
      </c>
      <c r="H55" s="214">
        <v>4082</v>
      </c>
      <c r="I55" s="34">
        <f t="shared" si="16"/>
        <v>574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127</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67</v>
      </c>
      <c r="B57" s="168">
        <v>360</v>
      </c>
      <c r="C57" s="212">
        <v>360</v>
      </c>
      <c r="D57" s="212">
        <v>2536</v>
      </c>
      <c r="E57" s="213">
        <v>350</v>
      </c>
      <c r="F57" s="213">
        <f>1505-50</f>
        <v>1455</v>
      </c>
      <c r="G57" s="213">
        <v>0</v>
      </c>
      <c r="H57" s="214">
        <v>2659</v>
      </c>
      <c r="I57" s="34">
        <f t="shared" si="16"/>
        <v>237</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122</v>
      </c>
      <c r="B58" s="168">
        <v>952</v>
      </c>
      <c r="C58" s="212">
        <v>952</v>
      </c>
      <c r="D58" s="212">
        <v>4417</v>
      </c>
      <c r="E58" s="213">
        <v>363</v>
      </c>
      <c r="F58" s="213">
        <v>260</v>
      </c>
      <c r="G58" s="213">
        <v>2000</v>
      </c>
      <c r="H58" s="214">
        <v>5047</v>
      </c>
      <c r="I58" s="34">
        <f t="shared" si="16"/>
        <v>322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123</v>
      </c>
      <c r="B59" s="168">
        <v>321</v>
      </c>
      <c r="C59" s="212">
        <v>321</v>
      </c>
      <c r="D59" s="212">
        <v>1157</v>
      </c>
      <c r="E59" s="213">
        <v>620</v>
      </c>
      <c r="F59" s="213">
        <v>0</v>
      </c>
      <c r="G59" s="213">
        <v>0</v>
      </c>
      <c r="H59" s="214">
        <v>1228</v>
      </c>
      <c r="I59" s="34">
        <f t="shared" si="16"/>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124</v>
      </c>
      <c r="B60" s="168">
        <v>1110</v>
      </c>
      <c r="C60" s="212">
        <v>1110</v>
      </c>
      <c r="D60" s="212">
        <v>877</v>
      </c>
      <c r="E60" s="213">
        <v>835</v>
      </c>
      <c r="F60" s="213">
        <v>0</v>
      </c>
      <c r="G60" s="213">
        <v>700</v>
      </c>
      <c r="H60" s="215">
        <v>1987</v>
      </c>
      <c r="I60" s="34">
        <f t="shared" si="16"/>
        <v>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128</v>
      </c>
      <c r="B61" s="168">
        <v>1267</v>
      </c>
      <c r="C61" s="212">
        <v>1267</v>
      </c>
      <c r="D61" s="212">
        <v>1750</v>
      </c>
      <c r="E61" s="213">
        <v>720</v>
      </c>
      <c r="F61" s="213">
        <v>0</v>
      </c>
      <c r="G61" s="213">
        <v>200</v>
      </c>
      <c r="H61" s="214">
        <v>1400</v>
      </c>
      <c r="I61" s="34">
        <f t="shared" si="16"/>
        <v>1617</v>
      </c>
      <c r="J61" s="168">
        <v>981</v>
      </c>
      <c r="K61" s="169">
        <v>981</v>
      </c>
      <c r="L61" s="169">
        <f>161+50</f>
        <v>211</v>
      </c>
      <c r="M61" s="170">
        <f>161+51+980</f>
        <v>1192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125</v>
      </c>
      <c r="B62" s="168">
        <v>333</v>
      </c>
      <c r="C62" s="212">
        <v>333</v>
      </c>
      <c r="D62" s="212">
        <v>1454</v>
      </c>
      <c r="E62" s="213">
        <v>650</v>
      </c>
      <c r="F62" s="213">
        <v>0</v>
      </c>
      <c r="G62" s="213">
        <v>0</v>
      </c>
      <c r="H62" s="214">
        <v>1174</v>
      </c>
      <c r="I62" s="34">
        <f t="shared" si="16"/>
        <v>613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126</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18</v>
      </c>
      <c r="B64" s="167">
        <f>SUM(B65:B80)</f>
        <v>13290</v>
      </c>
      <c r="C64" s="167">
        <f>SUM(C65:C80)</f>
        <v>13343</v>
      </c>
      <c r="D64" s="165">
        <f aca="true" t="shared" si="20" ref="D64:V64">SUM(D65:D80)</f>
        <v>28121</v>
      </c>
      <c r="E64" s="165">
        <f t="shared" si="20"/>
        <v>11086</v>
      </c>
      <c r="F64" s="165">
        <f t="shared" si="20"/>
        <v>3366</v>
      </c>
      <c r="G64" s="165">
        <f t="shared" si="20"/>
        <v>2652</v>
      </c>
      <c r="H64" s="165">
        <f t="shared" si="20"/>
        <v>28569</v>
      </c>
      <c r="I64" s="29">
        <f t="shared" si="20"/>
        <v>12842</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69</v>
      </c>
      <c r="B65" s="175">
        <v>343</v>
      </c>
      <c r="C65" s="176">
        <v>343</v>
      </c>
      <c r="D65" s="176">
        <v>894</v>
      </c>
      <c r="E65" s="177">
        <v>660</v>
      </c>
      <c r="F65" s="177">
        <v>0</v>
      </c>
      <c r="G65" s="177">
        <v>100</v>
      </c>
      <c r="H65" s="178">
        <f>351+E65+F65+G65</f>
        <v>1111</v>
      </c>
      <c r="I65" s="70">
        <f aca="true" t="shared" si="21" ref="I65:I80">B65+D65-H65</f>
        <v>126</v>
      </c>
      <c r="J65" s="175">
        <f>39+85</f>
        <v>124</v>
      </c>
      <c r="K65" s="176">
        <f>39+85</f>
        <v>124</v>
      </c>
      <c r="L65" s="176">
        <v>32</v>
      </c>
      <c r="M65" s="177">
        <v>0</v>
      </c>
      <c r="N65" s="178">
        <f aca="true" t="shared" si="22" ref="N65:N80">J65+L65-M65</f>
        <v>156</v>
      </c>
      <c r="O65" s="175">
        <f>553+125</f>
        <v>678</v>
      </c>
      <c r="P65" s="176">
        <f>462+125</f>
        <v>587</v>
      </c>
      <c r="Q65" s="177">
        <v>520</v>
      </c>
      <c r="R65" s="70">
        <f aca="true" t="shared" si="23" ref="R65:R80">O65-Q65</f>
        <v>158</v>
      </c>
      <c r="S65" s="175">
        <f>8+120</f>
        <v>128</v>
      </c>
      <c r="T65" s="177">
        <f>8+120</f>
        <v>128</v>
      </c>
      <c r="U65" s="177">
        <v>0</v>
      </c>
      <c r="V65" s="70">
        <f aca="true" t="shared" si="24" ref="V65:V80">S65-U65</f>
        <v>128</v>
      </c>
      <c r="Y65" s="219" t="s">
        <v>16</v>
      </c>
    </row>
    <row r="66" spans="1:22" s="40" customFormat="1" ht="12.75">
      <c r="A66" s="141" t="s">
        <v>84</v>
      </c>
      <c r="B66" s="168">
        <v>40</v>
      </c>
      <c r="C66" s="169">
        <v>93</v>
      </c>
      <c r="D66" s="169">
        <v>2075</v>
      </c>
      <c r="E66" s="170">
        <v>590</v>
      </c>
      <c r="F66" s="170">
        <v>0</v>
      </c>
      <c r="G66" s="170">
        <v>550</v>
      </c>
      <c r="H66" s="171">
        <f>969+E66+F66+G66</f>
        <v>2109</v>
      </c>
      <c r="I66" s="38">
        <f t="shared" si="21"/>
        <v>6</v>
      </c>
      <c r="J66" s="168">
        <f>777+19</f>
        <v>796</v>
      </c>
      <c r="K66" s="169">
        <f>777+19</f>
        <v>796</v>
      </c>
      <c r="L66" s="169">
        <v>151</v>
      </c>
      <c r="M66" s="170">
        <f>500+19</f>
        <v>519</v>
      </c>
      <c r="N66" s="171">
        <f t="shared" si="22"/>
        <v>428</v>
      </c>
      <c r="O66" s="168">
        <f>89+225</f>
        <v>314</v>
      </c>
      <c r="P66" s="169">
        <f>225+51</f>
        <v>276</v>
      </c>
      <c r="Q66" s="170">
        <v>256</v>
      </c>
      <c r="R66" s="38">
        <f t="shared" si="23"/>
        <v>58</v>
      </c>
      <c r="S66" s="168">
        <f>594+150</f>
        <v>744</v>
      </c>
      <c r="T66" s="170">
        <f>150+594</f>
        <v>744</v>
      </c>
      <c r="U66" s="170">
        <v>400</v>
      </c>
      <c r="V66" s="38">
        <f t="shared" si="24"/>
        <v>344</v>
      </c>
    </row>
    <row r="67" spans="1:22" s="40" customFormat="1" ht="12.75">
      <c r="A67" s="31" t="s">
        <v>132</v>
      </c>
      <c r="B67" s="168">
        <v>1092</v>
      </c>
      <c r="C67" s="169">
        <v>1092</v>
      </c>
      <c r="D67" s="169">
        <v>2260</v>
      </c>
      <c r="E67" s="170">
        <v>480</v>
      </c>
      <c r="F67" s="170">
        <v>820</v>
      </c>
      <c r="G67" s="170">
        <v>250</v>
      </c>
      <c r="H67" s="171">
        <f>960+E67+F67+G67</f>
        <v>2510</v>
      </c>
      <c r="I67" s="38">
        <f t="shared" si="21"/>
        <v>842</v>
      </c>
      <c r="J67" s="168">
        <f>328+329</f>
        <v>657</v>
      </c>
      <c r="K67" s="169">
        <f>328+329</f>
        <v>657</v>
      </c>
      <c r="L67" s="169">
        <f>24+50</f>
        <v>74</v>
      </c>
      <c r="M67" s="170">
        <v>50</v>
      </c>
      <c r="N67" s="171">
        <f t="shared" si="22"/>
        <v>681</v>
      </c>
      <c r="O67" s="168">
        <f>162+260</f>
        <v>422</v>
      </c>
      <c r="P67" s="169">
        <f>260+50</f>
        <v>310</v>
      </c>
      <c r="Q67" s="170">
        <v>300</v>
      </c>
      <c r="R67" s="38">
        <f t="shared" si="23"/>
        <v>122</v>
      </c>
      <c r="S67" s="168">
        <f>199+10</f>
        <v>209</v>
      </c>
      <c r="T67" s="169">
        <f>10+199</f>
        <v>209</v>
      </c>
      <c r="U67" s="170">
        <v>0</v>
      </c>
      <c r="V67" s="38">
        <f t="shared" si="24"/>
        <v>209</v>
      </c>
    </row>
    <row r="68" spans="1:22" s="40" customFormat="1" ht="12.75">
      <c r="A68" s="141" t="s">
        <v>34</v>
      </c>
      <c r="B68" s="168">
        <v>813</v>
      </c>
      <c r="C68" s="169">
        <v>813</v>
      </c>
      <c r="D68" s="169">
        <v>1453</v>
      </c>
      <c r="E68" s="170">
        <v>300</v>
      </c>
      <c r="F68" s="170">
        <v>0</v>
      </c>
      <c r="G68" s="170">
        <v>210</v>
      </c>
      <c r="H68" s="171">
        <f>753+E68+F68+G68</f>
        <v>1263</v>
      </c>
      <c r="I68" s="38">
        <f t="shared" si="21"/>
        <v>1003</v>
      </c>
      <c r="J68" s="168">
        <v>1047</v>
      </c>
      <c r="K68" s="169">
        <v>1047</v>
      </c>
      <c r="L68" s="169">
        <v>309</v>
      </c>
      <c r="M68" s="170">
        <v>0</v>
      </c>
      <c r="N68" s="171">
        <f t="shared" si="22"/>
        <v>1356</v>
      </c>
      <c r="O68" s="168">
        <f>521+290</f>
        <v>811</v>
      </c>
      <c r="P68" s="169">
        <f>290+471</f>
        <v>761</v>
      </c>
      <c r="Q68" s="170">
        <v>710</v>
      </c>
      <c r="R68" s="38">
        <f t="shared" si="23"/>
        <v>101</v>
      </c>
      <c r="S68" s="168">
        <f>1116+100</f>
        <v>1216</v>
      </c>
      <c r="T68" s="170">
        <f>100+1116</f>
        <v>1216</v>
      </c>
      <c r="U68" s="170">
        <v>0</v>
      </c>
      <c r="V68" s="38">
        <f t="shared" si="24"/>
        <v>1216</v>
      </c>
    </row>
    <row r="69" spans="1:22" s="40" customFormat="1" ht="12.75">
      <c r="A69" s="220" t="s">
        <v>88</v>
      </c>
      <c r="B69" s="221">
        <v>410</v>
      </c>
      <c r="C69" s="222">
        <v>410</v>
      </c>
      <c r="D69" s="222">
        <v>672</v>
      </c>
      <c r="E69" s="223">
        <v>500</v>
      </c>
      <c r="F69" s="223">
        <v>0</v>
      </c>
      <c r="G69" s="223">
        <v>0</v>
      </c>
      <c r="H69" s="224">
        <f>394+E69+F69+G69</f>
        <v>894</v>
      </c>
      <c r="I69" s="90">
        <f t="shared" si="21"/>
        <v>188</v>
      </c>
      <c r="J69" s="168">
        <f>32+115</f>
        <v>147</v>
      </c>
      <c r="K69" s="222">
        <f>54+115</f>
        <v>169</v>
      </c>
      <c r="L69" s="169">
        <v>22</v>
      </c>
      <c r="M69" s="170">
        <v>0</v>
      </c>
      <c r="N69" s="171">
        <f t="shared" si="22"/>
        <v>169</v>
      </c>
      <c r="O69" s="168">
        <f>461+150</f>
        <v>611</v>
      </c>
      <c r="P69" s="222">
        <f>150+461</f>
        <v>611</v>
      </c>
      <c r="Q69" s="170">
        <v>140</v>
      </c>
      <c r="R69" s="38">
        <f t="shared" si="23"/>
        <v>471</v>
      </c>
      <c r="S69" s="168">
        <f>61</f>
        <v>61</v>
      </c>
      <c r="T69" s="223">
        <v>61</v>
      </c>
      <c r="U69" s="170">
        <v>0</v>
      </c>
      <c r="V69" s="38">
        <f t="shared" si="24"/>
        <v>61</v>
      </c>
    </row>
    <row r="70" spans="1:22" s="40" customFormat="1" ht="12.75">
      <c r="A70" s="141" t="s">
        <v>89</v>
      </c>
      <c r="B70" s="168">
        <v>1944</v>
      </c>
      <c r="C70" s="169">
        <v>1944</v>
      </c>
      <c r="D70" s="169">
        <v>2333</v>
      </c>
      <c r="E70" s="170">
        <v>0</v>
      </c>
      <c r="F70" s="170">
        <v>0</v>
      </c>
      <c r="G70" s="170">
        <v>0</v>
      </c>
      <c r="H70" s="171">
        <v>1844</v>
      </c>
      <c r="I70" s="38">
        <f t="shared" si="21"/>
        <v>2433</v>
      </c>
      <c r="J70" s="168">
        <f>508+4860</f>
        <v>5368</v>
      </c>
      <c r="K70" s="169">
        <f>508+4860</f>
        <v>5368</v>
      </c>
      <c r="L70" s="169">
        <v>500</v>
      </c>
      <c r="M70" s="223">
        <f>500+4860</f>
        <v>5360</v>
      </c>
      <c r="N70" s="171">
        <f t="shared" si="22"/>
        <v>508</v>
      </c>
      <c r="O70" s="168">
        <f>1007+390</f>
        <v>1397</v>
      </c>
      <c r="P70" s="169">
        <f>390+968</f>
        <v>1358</v>
      </c>
      <c r="Q70" s="170">
        <v>900</v>
      </c>
      <c r="R70" s="38">
        <f t="shared" si="23"/>
        <v>497</v>
      </c>
      <c r="S70" s="168">
        <f>631+43</f>
        <v>674</v>
      </c>
      <c r="T70" s="170">
        <f>631+43</f>
        <v>674</v>
      </c>
      <c r="U70" s="170">
        <v>0</v>
      </c>
      <c r="V70" s="38">
        <f t="shared" si="24"/>
        <v>674</v>
      </c>
    </row>
    <row r="71" spans="1:22" s="40" customFormat="1" ht="12.75">
      <c r="A71" s="141" t="s">
        <v>35</v>
      </c>
      <c r="B71" s="168">
        <v>267</v>
      </c>
      <c r="C71" s="169">
        <v>267</v>
      </c>
      <c r="D71" s="169">
        <v>1065</v>
      </c>
      <c r="E71" s="170">
        <v>0</v>
      </c>
      <c r="F71" s="170">
        <v>846</v>
      </c>
      <c r="G71" s="170">
        <v>0</v>
      </c>
      <c r="H71" s="171">
        <f>336+F71</f>
        <v>1182</v>
      </c>
      <c r="I71" s="38">
        <f t="shared" si="21"/>
        <v>150</v>
      </c>
      <c r="J71" s="168">
        <f>33+26</f>
        <v>59</v>
      </c>
      <c r="K71" s="169">
        <f>33+26</f>
        <v>59</v>
      </c>
      <c r="L71" s="169">
        <f>46+10</f>
        <v>56</v>
      </c>
      <c r="M71" s="170">
        <v>0</v>
      </c>
      <c r="N71" s="171">
        <f t="shared" si="22"/>
        <v>115</v>
      </c>
      <c r="O71" s="168">
        <f>716+220</f>
        <v>936</v>
      </c>
      <c r="P71" s="169">
        <f>220+716</f>
        <v>936</v>
      </c>
      <c r="Q71" s="170">
        <v>400</v>
      </c>
      <c r="R71" s="38">
        <f t="shared" si="23"/>
        <v>536</v>
      </c>
      <c r="S71" s="168">
        <f>306+33</f>
        <v>339</v>
      </c>
      <c r="T71" s="170">
        <f>33+306</f>
        <v>339</v>
      </c>
      <c r="U71" s="170">
        <v>0</v>
      </c>
      <c r="V71" s="38">
        <f t="shared" si="24"/>
        <v>339</v>
      </c>
    </row>
    <row r="72" spans="1:22" s="40" customFormat="1" ht="12.75">
      <c r="A72" s="141" t="s">
        <v>36</v>
      </c>
      <c r="B72" s="168">
        <v>190</v>
      </c>
      <c r="C72" s="169">
        <v>190</v>
      </c>
      <c r="D72" s="169">
        <v>1486</v>
      </c>
      <c r="E72" s="170">
        <v>800</v>
      </c>
      <c r="F72" s="170">
        <v>0</v>
      </c>
      <c r="G72" s="170">
        <v>0</v>
      </c>
      <c r="H72" s="171">
        <f>773+E72+F72+G72</f>
        <v>1573</v>
      </c>
      <c r="I72" s="38">
        <f t="shared" si="21"/>
        <v>103</v>
      </c>
      <c r="J72" s="168">
        <f>49+254</f>
        <v>303</v>
      </c>
      <c r="K72" s="169">
        <f>49+254</f>
        <v>303</v>
      </c>
      <c r="L72" s="169">
        <f>296+10</f>
        <v>306</v>
      </c>
      <c r="M72" s="170">
        <f>50+260</f>
        <v>310</v>
      </c>
      <c r="N72" s="171">
        <f t="shared" si="22"/>
        <v>299</v>
      </c>
      <c r="O72" s="168">
        <f>46+250</f>
        <v>296</v>
      </c>
      <c r="P72" s="169">
        <f>56+250</f>
        <v>306</v>
      </c>
      <c r="Q72" s="170">
        <v>274</v>
      </c>
      <c r="R72" s="38">
        <f t="shared" si="23"/>
        <v>22</v>
      </c>
      <c r="S72" s="168">
        <f>161</f>
        <v>161</v>
      </c>
      <c r="T72" s="170">
        <v>161</v>
      </c>
      <c r="U72" s="170">
        <v>50</v>
      </c>
      <c r="V72" s="38">
        <f t="shared" si="24"/>
        <v>111</v>
      </c>
    </row>
    <row r="73" spans="1:22" s="40" customFormat="1" ht="12.75">
      <c r="A73" s="141" t="s">
        <v>37</v>
      </c>
      <c r="B73" s="168">
        <v>1273</v>
      </c>
      <c r="C73" s="169">
        <v>1273</v>
      </c>
      <c r="D73" s="169">
        <v>2960</v>
      </c>
      <c r="E73" s="170">
        <v>600</v>
      </c>
      <c r="F73" s="170">
        <v>1700</v>
      </c>
      <c r="G73" s="170">
        <v>0</v>
      </c>
      <c r="H73" s="171">
        <f>984+E73+F73+G73</f>
        <v>3284</v>
      </c>
      <c r="I73" s="38">
        <f t="shared" si="21"/>
        <v>949</v>
      </c>
      <c r="J73" s="168">
        <f>664+29</f>
        <v>693</v>
      </c>
      <c r="K73" s="169">
        <f>664+29</f>
        <v>693</v>
      </c>
      <c r="L73" s="169">
        <f>255+5</f>
        <v>260</v>
      </c>
      <c r="M73" s="170">
        <f>150+5</f>
        <v>155</v>
      </c>
      <c r="N73" s="171">
        <f t="shared" si="22"/>
        <v>798</v>
      </c>
      <c r="O73" s="168">
        <f>562+230</f>
        <v>792</v>
      </c>
      <c r="P73" s="169">
        <f>230+554</f>
        <v>784</v>
      </c>
      <c r="Q73" s="170">
        <v>370</v>
      </c>
      <c r="R73" s="38">
        <f t="shared" si="23"/>
        <v>422</v>
      </c>
      <c r="S73" s="168">
        <f>233+100</f>
        <v>333</v>
      </c>
      <c r="T73" s="170">
        <f>100+233</f>
        <v>333</v>
      </c>
      <c r="U73" s="170">
        <v>100</v>
      </c>
      <c r="V73" s="38">
        <f t="shared" si="24"/>
        <v>233</v>
      </c>
    </row>
    <row r="74" spans="1:22" s="40" customFormat="1" ht="12.75">
      <c r="A74" s="141" t="s">
        <v>90</v>
      </c>
      <c r="B74" s="168">
        <v>1257</v>
      </c>
      <c r="C74" s="169">
        <v>1257</v>
      </c>
      <c r="D74" s="169">
        <v>1296</v>
      </c>
      <c r="E74" s="170">
        <v>0</v>
      </c>
      <c r="F74" s="170">
        <v>0</v>
      </c>
      <c r="G74" s="170">
        <v>600</v>
      </c>
      <c r="H74" s="171">
        <f>522+E74+F74+G74</f>
        <v>1122</v>
      </c>
      <c r="I74" s="38">
        <f t="shared" si="21"/>
        <v>1431</v>
      </c>
      <c r="J74" s="168">
        <f>2468</f>
        <v>2468</v>
      </c>
      <c r="K74" s="169">
        <v>2468</v>
      </c>
      <c r="L74" s="169">
        <v>196</v>
      </c>
      <c r="M74" s="170">
        <v>500</v>
      </c>
      <c r="N74" s="171">
        <f t="shared" si="22"/>
        <v>2164</v>
      </c>
      <c r="O74" s="168">
        <f>254+105</f>
        <v>359</v>
      </c>
      <c r="P74" s="169">
        <f>105+244</f>
        <v>349</v>
      </c>
      <c r="Q74" s="170">
        <v>215</v>
      </c>
      <c r="R74" s="38">
        <f t="shared" si="23"/>
        <v>144</v>
      </c>
      <c r="S74" s="168">
        <f>783+191</f>
        <v>974</v>
      </c>
      <c r="T74" s="170">
        <f>783+191</f>
        <v>974</v>
      </c>
      <c r="U74" s="170">
        <v>700</v>
      </c>
      <c r="V74" s="38">
        <f t="shared" si="24"/>
        <v>274</v>
      </c>
    </row>
    <row r="75" spans="1:22" s="92" customFormat="1" ht="12.75">
      <c r="A75" s="359" t="s">
        <v>38</v>
      </c>
      <c r="B75" s="231">
        <v>700</v>
      </c>
      <c r="C75" s="194">
        <v>700</v>
      </c>
      <c r="D75" s="194">
        <f>956</f>
        <v>956</v>
      </c>
      <c r="E75" s="195">
        <v>0</v>
      </c>
      <c r="F75" s="195">
        <v>0</v>
      </c>
      <c r="G75" s="195">
        <v>202</v>
      </c>
      <c r="H75" s="232">
        <f>526+E75+F75+G75</f>
        <v>728</v>
      </c>
      <c r="I75" s="233">
        <f t="shared" si="21"/>
        <v>928</v>
      </c>
      <c r="J75" s="231">
        <f>41+8</f>
        <v>49</v>
      </c>
      <c r="K75" s="194">
        <f>41+8</f>
        <v>49</v>
      </c>
      <c r="L75" s="194">
        <v>73</v>
      </c>
      <c r="M75" s="195">
        <v>100</v>
      </c>
      <c r="N75" s="232">
        <f t="shared" si="22"/>
        <v>22</v>
      </c>
      <c r="O75" s="231">
        <f>250+343</f>
        <v>593</v>
      </c>
      <c r="P75" s="194">
        <f>250+343</f>
        <v>593</v>
      </c>
      <c r="Q75" s="195">
        <v>400</v>
      </c>
      <c r="R75" s="233">
        <f t="shared" si="23"/>
        <v>193</v>
      </c>
      <c r="S75" s="231">
        <v>3</v>
      </c>
      <c r="T75" s="195">
        <v>3</v>
      </c>
      <c r="U75" s="195">
        <v>0</v>
      </c>
      <c r="V75" s="233">
        <f t="shared" si="24"/>
        <v>3</v>
      </c>
    </row>
    <row r="76" spans="1:23" s="40" customFormat="1" ht="12.75">
      <c r="A76" s="187" t="s">
        <v>91</v>
      </c>
      <c r="B76" s="188">
        <v>852</v>
      </c>
      <c r="C76" s="189">
        <v>852</v>
      </c>
      <c r="D76" s="189">
        <v>5269</v>
      </c>
      <c r="E76" s="190">
        <v>4011</v>
      </c>
      <c r="F76" s="190">
        <v>0</v>
      </c>
      <c r="G76" s="190">
        <v>0</v>
      </c>
      <c r="H76" s="191">
        <f>904+E76+F76+G76</f>
        <v>4915</v>
      </c>
      <c r="I76" s="71">
        <f t="shared" si="21"/>
        <v>1206</v>
      </c>
      <c r="J76" s="188">
        <v>568</v>
      </c>
      <c r="K76" s="189">
        <v>568</v>
      </c>
      <c r="L76" s="189">
        <v>116</v>
      </c>
      <c r="M76" s="190">
        <v>0</v>
      </c>
      <c r="N76" s="191">
        <f t="shared" si="22"/>
        <v>684</v>
      </c>
      <c r="O76" s="188">
        <f>220+174</f>
        <v>394</v>
      </c>
      <c r="P76" s="189">
        <f>220+174</f>
        <v>394</v>
      </c>
      <c r="Q76" s="190">
        <v>394</v>
      </c>
      <c r="R76" s="71">
        <f t="shared" si="23"/>
        <v>0</v>
      </c>
      <c r="S76" s="188">
        <f>29+193</f>
        <v>222</v>
      </c>
      <c r="T76" s="190">
        <f>29+193</f>
        <v>222</v>
      </c>
      <c r="U76" s="190">
        <v>19</v>
      </c>
      <c r="V76" s="71">
        <f t="shared" si="24"/>
        <v>203</v>
      </c>
      <c r="W76" s="174"/>
    </row>
    <row r="77" spans="1:22" s="40" customFormat="1" ht="12.75">
      <c r="A77" s="187" t="s">
        <v>39</v>
      </c>
      <c r="B77" s="188">
        <v>124</v>
      </c>
      <c r="C77" s="189">
        <v>124</v>
      </c>
      <c r="D77" s="194">
        <f>1335+159</f>
        <v>1494</v>
      </c>
      <c r="E77" s="190">
        <v>310</v>
      </c>
      <c r="F77" s="190">
        <v>0</v>
      </c>
      <c r="G77" s="190">
        <v>0</v>
      </c>
      <c r="H77" s="191">
        <f>625+E77+F77+G77</f>
        <v>935</v>
      </c>
      <c r="I77" s="71">
        <f t="shared" si="21"/>
        <v>683</v>
      </c>
      <c r="J77" s="188">
        <f>4+430</f>
        <v>434</v>
      </c>
      <c r="K77" s="189">
        <f>4+430</f>
        <v>434</v>
      </c>
      <c r="L77" s="189">
        <v>183</v>
      </c>
      <c r="M77" s="190">
        <f>150+430</f>
        <v>580</v>
      </c>
      <c r="N77" s="191">
        <f t="shared" si="22"/>
        <v>37</v>
      </c>
      <c r="O77" s="188">
        <f>75+195</f>
        <v>270</v>
      </c>
      <c r="P77" s="189">
        <f>195+75</f>
        <v>270</v>
      </c>
      <c r="Q77" s="190">
        <v>270</v>
      </c>
      <c r="R77" s="71">
        <f t="shared" si="23"/>
        <v>0</v>
      </c>
      <c r="S77" s="188">
        <v>5</v>
      </c>
      <c r="T77" s="190">
        <v>0</v>
      </c>
      <c r="U77" s="190">
        <v>0</v>
      </c>
      <c r="V77" s="71">
        <f t="shared" si="24"/>
        <v>5</v>
      </c>
    </row>
    <row r="78" spans="1:22" s="40" customFormat="1" ht="12.75">
      <c r="A78" s="187" t="s">
        <v>40</v>
      </c>
      <c r="B78" s="188">
        <v>2025</v>
      </c>
      <c r="C78" s="189">
        <v>2025</v>
      </c>
      <c r="D78" s="189">
        <v>1447</v>
      </c>
      <c r="E78" s="190">
        <v>760</v>
      </c>
      <c r="F78" s="190">
        <v>0</v>
      </c>
      <c r="G78" s="190">
        <v>0</v>
      </c>
      <c r="H78" s="191">
        <f>674+E78+F78+G78</f>
        <v>1434</v>
      </c>
      <c r="I78" s="71">
        <f t="shared" si="21"/>
        <v>2038</v>
      </c>
      <c r="J78" s="188">
        <v>0</v>
      </c>
      <c r="K78" s="189">
        <v>0</v>
      </c>
      <c r="L78" s="189">
        <v>71</v>
      </c>
      <c r="M78" s="190">
        <v>40</v>
      </c>
      <c r="N78" s="191">
        <f t="shared" si="22"/>
        <v>31</v>
      </c>
      <c r="O78" s="188">
        <f>180+667</f>
        <v>847</v>
      </c>
      <c r="P78" s="189">
        <f>180+505</f>
        <v>685</v>
      </c>
      <c r="Q78" s="190">
        <v>830</v>
      </c>
      <c r="R78" s="71">
        <f t="shared" si="23"/>
        <v>17</v>
      </c>
      <c r="S78" s="188">
        <v>256</v>
      </c>
      <c r="T78" s="190">
        <v>256</v>
      </c>
      <c r="U78" s="190">
        <v>0</v>
      </c>
      <c r="V78" s="71">
        <f t="shared" si="24"/>
        <v>256</v>
      </c>
    </row>
    <row r="79" spans="1:22" s="40" customFormat="1" ht="12.75">
      <c r="A79" s="187" t="s">
        <v>92</v>
      </c>
      <c r="B79" s="188">
        <v>1636</v>
      </c>
      <c r="C79" s="189">
        <v>1636</v>
      </c>
      <c r="D79" s="189">
        <v>1745</v>
      </c>
      <c r="E79" s="190">
        <v>1615</v>
      </c>
      <c r="F79" s="190">
        <v>0</v>
      </c>
      <c r="G79" s="190">
        <v>740</v>
      </c>
      <c r="H79" s="191">
        <f>434+E79+F79+G79</f>
        <v>2789</v>
      </c>
      <c r="I79" s="71">
        <f t="shared" si="21"/>
        <v>592</v>
      </c>
      <c r="J79" s="188">
        <v>639</v>
      </c>
      <c r="K79" s="189">
        <v>639</v>
      </c>
      <c r="L79" s="189">
        <v>112</v>
      </c>
      <c r="M79" s="190">
        <v>606</v>
      </c>
      <c r="N79" s="191">
        <f t="shared" si="22"/>
        <v>145</v>
      </c>
      <c r="O79" s="188">
        <f>190+444</f>
        <v>634</v>
      </c>
      <c r="P79" s="189">
        <f>190+425</f>
        <v>615</v>
      </c>
      <c r="Q79" s="190">
        <v>455</v>
      </c>
      <c r="R79" s="71">
        <f t="shared" si="23"/>
        <v>179</v>
      </c>
      <c r="S79" s="188">
        <v>399</v>
      </c>
      <c r="T79" s="190">
        <v>399</v>
      </c>
      <c r="U79" s="190">
        <v>350</v>
      </c>
      <c r="V79" s="71">
        <f t="shared" si="24"/>
        <v>49</v>
      </c>
    </row>
    <row r="80" spans="1:22" s="40" customFormat="1" ht="13.5" thickBot="1">
      <c r="A80" s="187" t="s">
        <v>93</v>
      </c>
      <c r="B80" s="188">
        <v>324</v>
      </c>
      <c r="C80" s="189">
        <v>324</v>
      </c>
      <c r="D80" s="189">
        <v>716</v>
      </c>
      <c r="E80" s="190">
        <v>460</v>
      </c>
      <c r="F80" s="190">
        <v>0</v>
      </c>
      <c r="G80" s="190">
        <v>0</v>
      </c>
      <c r="H80" s="191">
        <f>416+E80+F80+G80</f>
        <v>876</v>
      </c>
      <c r="I80" s="71">
        <f t="shared" si="21"/>
        <v>164</v>
      </c>
      <c r="J80" s="188">
        <v>212</v>
      </c>
      <c r="K80" s="189">
        <v>212</v>
      </c>
      <c r="L80" s="189">
        <v>415</v>
      </c>
      <c r="M80" s="190">
        <v>627</v>
      </c>
      <c r="N80" s="191">
        <f t="shared" si="22"/>
        <v>0</v>
      </c>
      <c r="O80" s="188">
        <f>110+234</f>
        <v>344</v>
      </c>
      <c r="P80" s="189">
        <f>110+170</f>
        <v>280</v>
      </c>
      <c r="Q80" s="190">
        <v>270</v>
      </c>
      <c r="R80" s="71">
        <f t="shared" si="23"/>
        <v>74</v>
      </c>
      <c r="S80" s="188">
        <v>3</v>
      </c>
      <c r="T80" s="190">
        <v>3</v>
      </c>
      <c r="U80" s="190">
        <v>0</v>
      </c>
      <c r="V80" s="71">
        <f t="shared" si="24"/>
        <v>3</v>
      </c>
    </row>
    <row r="81" spans="1:256" s="235" customFormat="1" ht="13.5" thickBot="1">
      <c r="A81" s="166" t="s">
        <v>41</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54</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19</v>
      </c>
      <c r="B83" s="242">
        <f>SUM(B84)</f>
        <v>9294</v>
      </c>
      <c r="C83" s="243">
        <f aca="true" t="shared" si="26" ref="C83:V83">SUM(C84)</f>
        <v>1000</v>
      </c>
      <c r="D83" s="243">
        <f t="shared" si="26"/>
        <v>4450</v>
      </c>
      <c r="E83" s="243">
        <f t="shared" si="26"/>
        <v>9180</v>
      </c>
      <c r="F83" s="243">
        <f t="shared" si="26"/>
        <v>1400</v>
      </c>
      <c r="G83" s="243">
        <f t="shared" si="26"/>
        <v>1100</v>
      </c>
      <c r="H83" s="243">
        <f t="shared" si="26"/>
        <v>11680</v>
      </c>
      <c r="I83" s="102">
        <f t="shared" si="26"/>
        <v>2064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71</v>
      </c>
      <c r="B84" s="355">
        <v>9294</v>
      </c>
      <c r="C84" s="342">
        <v>1000</v>
      </c>
      <c r="D84" s="342">
        <v>4450</v>
      </c>
      <c r="E84" s="343">
        <v>9180</v>
      </c>
      <c r="F84" s="343">
        <v>1400</v>
      </c>
      <c r="G84" s="343">
        <v>1100</v>
      </c>
      <c r="H84" s="345">
        <v>11680</v>
      </c>
      <c r="I84" s="344">
        <f>B84+D84-H84</f>
        <v>2064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20</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133</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21</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22</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23</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33</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61" t="s">
        <v>144</v>
      </c>
      <c r="B91" s="461"/>
      <c r="C91" s="461"/>
      <c r="D91" s="461"/>
      <c r="E91" s="461"/>
      <c r="F91" s="461"/>
      <c r="G91" s="461"/>
      <c r="H91" s="461"/>
      <c r="I91" s="461"/>
      <c r="J91" s="461"/>
      <c r="K91" s="461"/>
      <c r="L91" s="461"/>
      <c r="M91" s="461"/>
      <c r="N91" s="461"/>
      <c r="O91" s="461"/>
      <c r="P91" s="461"/>
      <c r="Q91" s="461"/>
      <c r="R91" s="461"/>
      <c r="S91" s="461"/>
      <c r="T91" s="461"/>
      <c r="U91" s="461"/>
      <c r="V91" s="461"/>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9</v>
      </c>
      <c r="C92" s="5"/>
      <c r="D92" s="5"/>
      <c r="E92" s="5"/>
      <c r="F92" s="5"/>
      <c r="G92" s="5"/>
      <c r="H92" s="5"/>
      <c r="I92" s="6"/>
      <c r="J92" s="4" t="s">
        <v>10</v>
      </c>
      <c r="K92" s="5"/>
      <c r="L92" s="7"/>
      <c r="M92" s="5"/>
      <c r="N92" s="6"/>
      <c r="O92" s="542" t="s">
        <v>11</v>
      </c>
      <c r="P92" s="543"/>
      <c r="Q92" s="543"/>
      <c r="R92" s="544"/>
      <c r="S92" s="542" t="s">
        <v>12</v>
      </c>
      <c r="T92" s="545"/>
      <c r="U92" s="545"/>
      <c r="V92" s="546"/>
    </row>
    <row r="93" spans="1:23" s="13" customFormat="1" ht="14.25" customHeight="1">
      <c r="A93" s="9" t="s">
        <v>0</v>
      </c>
      <c r="B93" s="525" t="s">
        <v>146</v>
      </c>
      <c r="C93" s="537" t="s">
        <v>147</v>
      </c>
      <c r="D93" s="522" t="s">
        <v>78</v>
      </c>
      <c r="E93" s="10" t="s">
        <v>13</v>
      </c>
      <c r="F93" s="10"/>
      <c r="G93" s="10"/>
      <c r="H93" s="11"/>
      <c r="I93" s="528" t="s">
        <v>148</v>
      </c>
      <c r="J93" s="525" t="s">
        <v>146</v>
      </c>
      <c r="K93" s="537" t="s">
        <v>147</v>
      </c>
      <c r="L93" s="522" t="s">
        <v>80</v>
      </c>
      <c r="M93" s="534" t="s">
        <v>81</v>
      </c>
      <c r="N93" s="528" t="s">
        <v>148</v>
      </c>
      <c r="O93" s="525" t="s">
        <v>149</v>
      </c>
      <c r="P93" s="531" t="s">
        <v>150</v>
      </c>
      <c r="Q93" s="534" t="s">
        <v>81</v>
      </c>
      <c r="R93" s="528" t="s">
        <v>148</v>
      </c>
      <c r="S93" s="525" t="s">
        <v>149</v>
      </c>
      <c r="T93" s="531" t="s">
        <v>150</v>
      </c>
      <c r="U93" s="534" t="s">
        <v>81</v>
      </c>
      <c r="V93" s="528" t="s">
        <v>148</v>
      </c>
      <c r="W93" s="12" t="s">
        <v>16</v>
      </c>
    </row>
    <row r="94" spans="1:22" ht="12.75" customHeight="1">
      <c r="A94" s="14"/>
      <c r="B94" s="526"/>
      <c r="C94" s="538" t="s">
        <v>30</v>
      </c>
      <c r="D94" s="523"/>
      <c r="E94" s="540" t="s">
        <v>87</v>
      </c>
      <c r="F94" s="540" t="s">
        <v>59</v>
      </c>
      <c r="G94" s="540" t="s">
        <v>60</v>
      </c>
      <c r="H94" s="534" t="s">
        <v>79</v>
      </c>
      <c r="I94" s="529"/>
      <c r="J94" s="526"/>
      <c r="K94" s="538" t="s">
        <v>30</v>
      </c>
      <c r="L94" s="523"/>
      <c r="M94" s="535"/>
      <c r="N94" s="529"/>
      <c r="O94" s="526"/>
      <c r="P94" s="532"/>
      <c r="Q94" s="535"/>
      <c r="R94" s="529"/>
      <c r="S94" s="526"/>
      <c r="T94" s="532"/>
      <c r="U94" s="535"/>
      <c r="V94" s="529"/>
    </row>
    <row r="95" spans="1:22" ht="53.25" customHeight="1" thickBot="1">
      <c r="A95" s="15" t="s">
        <v>16</v>
      </c>
      <c r="B95" s="527"/>
      <c r="C95" s="539" t="s">
        <v>58</v>
      </c>
      <c r="D95" s="524"/>
      <c r="E95" s="541"/>
      <c r="F95" s="541"/>
      <c r="G95" s="541"/>
      <c r="H95" s="536"/>
      <c r="I95" s="530"/>
      <c r="J95" s="527"/>
      <c r="K95" s="539" t="s">
        <v>58</v>
      </c>
      <c r="L95" s="524"/>
      <c r="M95" s="536"/>
      <c r="N95" s="530"/>
      <c r="O95" s="527"/>
      <c r="P95" s="533"/>
      <c r="Q95" s="536"/>
      <c r="R95" s="530"/>
      <c r="S95" s="527"/>
      <c r="T95" s="533"/>
      <c r="U95" s="536"/>
      <c r="V95" s="530"/>
    </row>
    <row r="96" spans="1:256" ht="13.5" thickBot="1">
      <c r="A96" s="166" t="s">
        <v>24</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129</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25</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7</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13.5" thickBot="1">
      <c r="A100" s="358" t="s">
        <v>55</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26</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113</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52</v>
      </c>
      <c r="B103" s="242">
        <f>SUM(B104)</f>
        <v>204</v>
      </c>
      <c r="C103" s="243">
        <f aca="true" t="shared" si="31" ref="C103:V103">SUM(C104)</f>
        <v>204</v>
      </c>
      <c r="D103" s="243">
        <f t="shared" si="31"/>
        <v>110</v>
      </c>
      <c r="E103" s="243">
        <f t="shared" si="31"/>
        <v>0</v>
      </c>
      <c r="F103" s="243">
        <f t="shared" si="31"/>
        <v>0</v>
      </c>
      <c r="G103" s="243">
        <f t="shared" si="31"/>
        <v>0</v>
      </c>
      <c r="H103" s="243">
        <f t="shared" si="31"/>
        <v>0</v>
      </c>
      <c r="I103" s="102">
        <f t="shared" si="31"/>
        <v>314</v>
      </c>
      <c r="J103" s="242">
        <f t="shared" si="31"/>
        <v>2319</v>
      </c>
      <c r="K103" s="243">
        <f t="shared" si="31"/>
        <v>2319</v>
      </c>
      <c r="L103" s="243">
        <f t="shared" si="31"/>
        <v>1837</v>
      </c>
      <c r="M103" s="243">
        <f t="shared" si="31"/>
        <v>2119</v>
      </c>
      <c r="N103" s="102">
        <f t="shared" si="31"/>
        <v>2037</v>
      </c>
      <c r="O103" s="242">
        <f t="shared" si="31"/>
        <v>72</v>
      </c>
      <c r="P103" s="243">
        <f t="shared" si="31"/>
        <v>72</v>
      </c>
      <c r="Q103" s="243">
        <f t="shared" si="31"/>
        <v>45</v>
      </c>
      <c r="R103" s="102">
        <f t="shared" si="31"/>
        <v>27</v>
      </c>
      <c r="S103" s="242">
        <f t="shared" si="31"/>
        <v>49</v>
      </c>
      <c r="T103" s="243">
        <f t="shared" si="31"/>
        <v>49</v>
      </c>
      <c r="U103" s="243">
        <f t="shared" si="31"/>
        <v>20</v>
      </c>
      <c r="V103" s="102">
        <f t="shared" si="31"/>
        <v>29</v>
      </c>
      <c r="W103" s="193"/>
      <c r="X103" s="86"/>
      <c r="Y103" s="86"/>
      <c r="Z103" s="86"/>
      <c r="AA103" s="86"/>
      <c r="AB103" s="86"/>
      <c r="AC103" s="86"/>
      <c r="AD103" s="86"/>
      <c r="AE103" s="86"/>
      <c r="AF103" s="86"/>
      <c r="AG103" s="86"/>
      <c r="AH103" s="86"/>
      <c r="AI103" s="86"/>
    </row>
    <row r="104" spans="1:35" ht="13.5" thickBot="1">
      <c r="A104" s="362" t="s">
        <v>130</v>
      </c>
      <c r="B104" s="355">
        <v>204</v>
      </c>
      <c r="C104" s="343">
        <v>204</v>
      </c>
      <c r="D104" s="343">
        <v>110</v>
      </c>
      <c r="E104" s="343">
        <v>0</v>
      </c>
      <c r="F104" s="343">
        <v>0</v>
      </c>
      <c r="G104" s="343">
        <v>0</v>
      </c>
      <c r="H104" s="343">
        <v>0</v>
      </c>
      <c r="I104" s="344">
        <f>B104+D104-H104</f>
        <v>314</v>
      </c>
      <c r="J104" s="355">
        <v>2319</v>
      </c>
      <c r="K104" s="342">
        <v>2319</v>
      </c>
      <c r="L104" s="342">
        <v>1837</v>
      </c>
      <c r="M104" s="343">
        <v>2119</v>
      </c>
      <c r="N104" s="345">
        <f>J104+L104-M104</f>
        <v>2037</v>
      </c>
      <c r="O104" s="355">
        <f>29+43</f>
        <v>72</v>
      </c>
      <c r="P104" s="342">
        <v>72</v>
      </c>
      <c r="Q104" s="343">
        <v>45</v>
      </c>
      <c r="R104" s="344">
        <f>O104-Q104</f>
        <v>27</v>
      </c>
      <c r="S104" s="355">
        <v>49</v>
      </c>
      <c r="T104" s="343">
        <v>49</v>
      </c>
      <c r="U104" s="343">
        <v>20</v>
      </c>
      <c r="V104" s="344">
        <f>S104-U104</f>
        <v>29</v>
      </c>
      <c r="W104" s="363"/>
      <c r="X104" s="364"/>
      <c r="Y104" s="364"/>
      <c r="Z104" s="364"/>
      <c r="AA104" s="364"/>
      <c r="AB104" s="364"/>
      <c r="AC104" s="364"/>
      <c r="AD104" s="364"/>
      <c r="AE104" s="364"/>
      <c r="AF104" s="364"/>
      <c r="AG104" s="364"/>
      <c r="AH104" s="364"/>
      <c r="AI104" s="364"/>
    </row>
    <row r="105" spans="1:35" ht="13.5" thickBot="1">
      <c r="A105" s="268" t="s">
        <v>27</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6</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28</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1260</v>
      </c>
      <c r="N107" s="29">
        <f t="shared" si="33"/>
        <v>1094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43</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44</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45</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46</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47</v>
      </c>
      <c r="B112" s="168">
        <v>392</v>
      </c>
      <c r="C112" s="170">
        <v>392</v>
      </c>
      <c r="D112" s="170">
        <v>407</v>
      </c>
      <c r="E112" s="170">
        <v>160</v>
      </c>
      <c r="F112" s="170">
        <v>0</v>
      </c>
      <c r="G112" s="170">
        <v>302</v>
      </c>
      <c r="H112" s="170">
        <v>625</v>
      </c>
      <c r="I112" s="38">
        <f t="shared" si="34"/>
        <v>174</v>
      </c>
      <c r="J112" s="168">
        <v>150</v>
      </c>
      <c r="K112" s="170">
        <v>150</v>
      </c>
      <c r="L112" s="170">
        <v>2</v>
      </c>
      <c r="M112" s="170">
        <v>72</v>
      </c>
      <c r="N112" s="38">
        <f t="shared" si="35"/>
        <v>80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48</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49</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56</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50</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198</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173</v>
      </c>
      <c r="B119" s="275"/>
      <c r="C119" s="667">
        <v>394</v>
      </c>
      <c r="D119" s="668"/>
      <c r="E119" s="277"/>
      <c r="F119" s="278"/>
      <c r="G119" s="279"/>
      <c r="H119" s="278"/>
      <c r="I119" s="276"/>
      <c r="J119" s="276"/>
      <c r="K119" s="277"/>
      <c r="L119" s="280"/>
      <c r="M119" s="281"/>
      <c r="N119" s="281"/>
      <c r="O119" s="658"/>
      <c r="P119" s="659"/>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664"/>
      <c r="J120" s="665"/>
      <c r="K120" s="294"/>
      <c r="L120" s="295"/>
      <c r="M120" s="296"/>
      <c r="N120" s="296"/>
      <c r="O120" s="664"/>
      <c r="P120" s="666"/>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662"/>
      <c r="J123" s="663"/>
      <c r="K123" s="308"/>
      <c r="L123" s="306"/>
      <c r="M123" s="309"/>
      <c r="N123" s="309"/>
      <c r="O123" s="660"/>
      <c r="P123" s="661"/>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61" t="s">
        <v>145</v>
      </c>
      <c r="B125" s="461"/>
      <c r="C125" s="461"/>
      <c r="D125" s="461"/>
      <c r="E125" s="461"/>
      <c r="F125" s="461"/>
      <c r="G125" s="461"/>
      <c r="H125" s="461"/>
      <c r="I125" s="461"/>
      <c r="J125" s="461"/>
      <c r="K125" s="461"/>
      <c r="L125" s="461"/>
      <c r="M125" s="461"/>
      <c r="N125" s="461"/>
      <c r="O125" s="461"/>
      <c r="P125" s="461"/>
      <c r="Q125" s="461"/>
      <c r="R125" s="461"/>
      <c r="S125" s="461"/>
      <c r="T125" s="461"/>
      <c r="U125" s="461"/>
      <c r="V125" s="461"/>
      <c r="W125" s="16"/>
      <c r="X125" s="17"/>
      <c r="Y125" s="489"/>
      <c r="Z125" s="490"/>
      <c r="AC125" s="17"/>
      <c r="AH125" s="17"/>
    </row>
    <row r="126" spans="1:34" ht="22.5">
      <c r="A126" s="18" t="s">
        <v>0</v>
      </c>
      <c r="B126" s="139" t="s">
        <v>86</v>
      </c>
      <c r="C126" s="139"/>
      <c r="D126" s="139"/>
      <c r="E126" s="139"/>
      <c r="F126" s="139"/>
      <c r="G126" s="140"/>
      <c r="H126" s="19" t="s">
        <v>29</v>
      </c>
      <c r="I126" s="462" t="s">
        <v>85</v>
      </c>
      <c r="J126" s="463"/>
      <c r="K126" s="463"/>
      <c r="L126" s="463"/>
      <c r="M126" s="463"/>
      <c r="N126" s="463"/>
      <c r="O126" s="463"/>
      <c r="P126" s="463"/>
      <c r="Q126" s="463"/>
      <c r="R126" s="463"/>
      <c r="S126" s="463"/>
      <c r="T126" s="463"/>
      <c r="U126" s="464"/>
      <c r="V126" s="20" t="s">
        <v>29</v>
      </c>
      <c r="W126" s="16"/>
      <c r="X126" s="17"/>
      <c r="Y126" s="489"/>
      <c r="Z126" s="490"/>
      <c r="AC126" s="17"/>
      <c r="AH126" s="17"/>
    </row>
    <row r="127" spans="1:34" ht="13.5" thickBot="1">
      <c r="A127" s="21"/>
      <c r="B127" s="22" t="s">
        <v>61</v>
      </c>
      <c r="C127" s="22"/>
      <c r="D127" s="22"/>
      <c r="E127" s="22"/>
      <c r="F127" s="22"/>
      <c r="G127" s="23"/>
      <c r="H127" s="24" t="s">
        <v>62</v>
      </c>
      <c r="I127" s="465"/>
      <c r="J127" s="466"/>
      <c r="K127" s="466"/>
      <c r="L127" s="466"/>
      <c r="M127" s="466"/>
      <c r="N127" s="466"/>
      <c r="O127" s="466"/>
      <c r="P127" s="466"/>
      <c r="Q127" s="466"/>
      <c r="R127" s="466"/>
      <c r="S127" s="466"/>
      <c r="T127" s="466"/>
      <c r="U127" s="467"/>
      <c r="V127" s="25" t="s">
        <v>63</v>
      </c>
      <c r="W127" s="16"/>
      <c r="X127" s="17"/>
      <c r="Y127" s="489"/>
      <c r="Z127" s="490"/>
      <c r="AC127" s="17"/>
      <c r="AH127" s="17"/>
    </row>
    <row r="128" spans="1:34" s="367" customFormat="1" ht="17.25" customHeight="1" thickBot="1">
      <c r="A128" s="164" t="s">
        <v>245</v>
      </c>
      <c r="B128" s="23"/>
      <c r="C128" s="365"/>
      <c r="D128" s="365"/>
      <c r="E128" s="365"/>
      <c r="F128" s="365"/>
      <c r="G128" s="365"/>
      <c r="H128" s="368">
        <f>H129+H144+H167+H193+H218+H220+H224+H230+H233+H241+H245+H243+H247</f>
        <v>18846</v>
      </c>
      <c r="I128" s="360"/>
      <c r="J128" s="361"/>
      <c r="K128" s="361"/>
      <c r="L128" s="361"/>
      <c r="M128" s="361"/>
      <c r="N128" s="361"/>
      <c r="O128" s="361"/>
      <c r="P128" s="361"/>
      <c r="Q128" s="361"/>
      <c r="R128" s="361"/>
      <c r="S128" s="361"/>
      <c r="T128" s="361"/>
      <c r="U128" s="361"/>
      <c r="V128" s="368">
        <f>V129+V144+V167+V193+V218+V220+V224+V230+V233+V241+V245+V243+V247</f>
        <v>32324</v>
      </c>
      <c r="W128" s="16"/>
      <c r="X128" s="42"/>
      <c r="Y128" s="83"/>
      <c r="Z128" s="366"/>
      <c r="AC128" s="42"/>
      <c r="AH128" s="42"/>
    </row>
    <row r="129" spans="1:34" ht="13.5" thickBot="1">
      <c r="A129" s="26" t="s">
        <v>14</v>
      </c>
      <c r="B129" s="27"/>
      <c r="C129" s="28"/>
      <c r="D129" s="28"/>
      <c r="E129" s="28"/>
      <c r="F129" s="28"/>
      <c r="G129" s="28"/>
      <c r="H129" s="29">
        <f>SUM(H130:H143)</f>
        <v>0</v>
      </c>
      <c r="I129" s="30"/>
      <c r="J129" s="28"/>
      <c r="K129" s="28"/>
      <c r="L129" s="28"/>
      <c r="M129" s="28"/>
      <c r="N129" s="28"/>
      <c r="O129" s="28"/>
      <c r="P129" s="28"/>
      <c r="Q129" s="28"/>
      <c r="R129" s="28"/>
      <c r="S129" s="28"/>
      <c r="T129" s="28"/>
      <c r="U129" s="28"/>
      <c r="V129" s="29">
        <f>SUM(V130:V143)</f>
        <v>852</v>
      </c>
      <c r="W129" s="16"/>
      <c r="X129" s="17"/>
      <c r="Y129" s="649"/>
      <c r="Z129" s="490"/>
      <c r="AC129" s="17"/>
      <c r="AH129" s="17"/>
    </row>
    <row r="130" spans="1:34" ht="12.75">
      <c r="A130" s="141" t="s">
        <v>104</v>
      </c>
      <c r="B130" s="32"/>
      <c r="C130" s="33"/>
      <c r="D130" s="33"/>
      <c r="E130" s="33"/>
      <c r="F130" s="33"/>
      <c r="G130" s="33"/>
      <c r="H130" s="34">
        <v>0</v>
      </c>
      <c r="I130" s="32"/>
      <c r="J130" s="33"/>
      <c r="K130" s="33"/>
      <c r="L130" s="33"/>
      <c r="M130" s="33"/>
      <c r="N130" s="33"/>
      <c r="O130" s="33"/>
      <c r="P130" s="33"/>
      <c r="Q130" s="33"/>
      <c r="R130" s="33"/>
      <c r="S130" s="33"/>
      <c r="T130" s="33"/>
      <c r="U130" s="33"/>
      <c r="V130" s="35">
        <v>0</v>
      </c>
      <c r="W130" s="16"/>
      <c r="X130" s="17"/>
      <c r="Y130" s="649"/>
      <c r="Z130" s="490"/>
      <c r="AC130" s="17"/>
      <c r="AH130" s="17"/>
    </row>
    <row r="131" spans="1:34" ht="12.75">
      <c r="A131" s="141" t="s">
        <v>114</v>
      </c>
      <c r="B131" s="32"/>
      <c r="C131" s="33"/>
      <c r="D131" s="33"/>
      <c r="E131" s="33"/>
      <c r="F131" s="33"/>
      <c r="G131" s="33"/>
      <c r="H131" s="34">
        <v>0</v>
      </c>
      <c r="I131" s="36" t="s">
        <v>169</v>
      </c>
      <c r="J131" s="33"/>
      <c r="K131" s="33"/>
      <c r="L131" s="33"/>
      <c r="M131" s="33"/>
      <c r="N131" s="33"/>
      <c r="O131" s="33"/>
      <c r="P131" s="33"/>
      <c r="Q131" s="33"/>
      <c r="R131" s="33"/>
      <c r="S131" s="33"/>
      <c r="T131" s="33"/>
      <c r="U131" s="33"/>
      <c r="V131" s="35">
        <v>350</v>
      </c>
      <c r="W131" s="16"/>
      <c r="X131" s="17"/>
      <c r="Y131" s="649"/>
      <c r="Z131" s="490"/>
      <c r="AC131" s="17"/>
      <c r="AH131" s="17"/>
    </row>
    <row r="132" spans="1:34" ht="12.75">
      <c r="A132" s="173" t="s">
        <v>42</v>
      </c>
      <c r="B132" s="32"/>
      <c r="C132" s="33"/>
      <c r="D132" s="33"/>
      <c r="E132" s="33"/>
      <c r="F132" s="33"/>
      <c r="G132" s="33"/>
      <c r="H132" s="34">
        <v>0</v>
      </c>
      <c r="I132" s="36"/>
      <c r="J132" s="33"/>
      <c r="K132" s="33"/>
      <c r="L132" s="33"/>
      <c r="M132" s="33"/>
      <c r="N132" s="33"/>
      <c r="O132" s="33"/>
      <c r="P132" s="33"/>
      <c r="Q132" s="33"/>
      <c r="R132" s="33"/>
      <c r="S132" s="33"/>
      <c r="T132" s="33"/>
      <c r="U132" s="33"/>
      <c r="V132" s="35">
        <v>0</v>
      </c>
      <c r="W132" s="16"/>
      <c r="X132" s="17"/>
      <c r="Y132" s="649"/>
      <c r="Z132" s="490"/>
      <c r="AC132" s="17"/>
      <c r="AH132" s="17"/>
    </row>
    <row r="133" spans="1:34" s="40" customFormat="1" ht="12.75">
      <c r="A133" s="141" t="s">
        <v>105</v>
      </c>
      <c r="B133" s="36"/>
      <c r="C133" s="37"/>
      <c r="D133" s="37"/>
      <c r="E133" s="37"/>
      <c r="F133" s="37"/>
      <c r="G133" s="37"/>
      <c r="H133" s="38">
        <v>0</v>
      </c>
      <c r="I133" s="36"/>
      <c r="J133" s="37"/>
      <c r="K133" s="37"/>
      <c r="L133" s="37"/>
      <c r="M133" s="37"/>
      <c r="N133" s="37"/>
      <c r="O133" s="37"/>
      <c r="P133" s="37"/>
      <c r="Q133" s="37"/>
      <c r="R133" s="37"/>
      <c r="S133" s="37"/>
      <c r="T133" s="37"/>
      <c r="U133" s="37"/>
      <c r="V133" s="39">
        <v>0</v>
      </c>
      <c r="X133" s="41"/>
      <c r="Y133" s="649"/>
      <c r="Z133" s="490"/>
      <c r="AC133" s="41"/>
      <c r="AH133" s="41"/>
    </row>
    <row r="134" spans="1:34" ht="12.75">
      <c r="A134" s="141" t="s">
        <v>57</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c r="X134" s="42"/>
      <c r="Y134" s="649"/>
      <c r="Z134" s="490"/>
      <c r="AC134" s="42"/>
      <c r="AH134" s="42"/>
    </row>
    <row r="135" spans="1:26" ht="12.75">
      <c r="A135" s="141" t="s">
        <v>106</v>
      </c>
      <c r="B135" s="32"/>
      <c r="C135" s="33"/>
      <c r="D135" s="33"/>
      <c r="E135" s="33"/>
      <c r="F135" s="33"/>
      <c r="G135" s="33"/>
      <c r="H135" s="34">
        <v>0</v>
      </c>
      <c r="I135" s="32"/>
      <c r="J135" s="33"/>
      <c r="K135" s="33"/>
      <c r="L135" s="33"/>
      <c r="M135" s="33"/>
      <c r="N135" s="33"/>
      <c r="O135" s="33"/>
      <c r="P135" s="33"/>
      <c r="Q135" s="33"/>
      <c r="R135" s="33"/>
      <c r="S135" s="33"/>
      <c r="T135" s="33"/>
      <c r="U135" s="33"/>
      <c r="V135" s="35">
        <v>0</v>
      </c>
      <c r="W135" s="16" t="s">
        <v>16</v>
      </c>
      <c r="Z135" s="42"/>
    </row>
    <row r="136" spans="1:22" s="40" customFormat="1" ht="12.75">
      <c r="A136" s="141" t="s">
        <v>103</v>
      </c>
      <c r="B136" s="36"/>
      <c r="C136" s="37"/>
      <c r="D136" s="37"/>
      <c r="E136" s="37"/>
      <c r="F136" s="37"/>
      <c r="G136" s="37"/>
      <c r="H136" s="38">
        <v>0</v>
      </c>
      <c r="I136" s="36"/>
      <c r="J136" s="37"/>
      <c r="K136" s="37"/>
      <c r="L136" s="37"/>
      <c r="M136" s="37"/>
      <c r="N136" s="37"/>
      <c r="O136" s="37"/>
      <c r="P136" s="37"/>
      <c r="Q136" s="37"/>
      <c r="R136" s="37"/>
      <c r="S136" s="37"/>
      <c r="T136" s="37"/>
      <c r="U136" s="37"/>
      <c r="V136" s="39">
        <v>0</v>
      </c>
    </row>
    <row r="137" spans="1:22" s="40" customFormat="1" ht="12.75">
      <c r="A137" s="141" t="s">
        <v>111</v>
      </c>
      <c r="B137" s="36"/>
      <c r="C137" s="43"/>
      <c r="D137" s="37"/>
      <c r="E137" s="37"/>
      <c r="F137" s="37"/>
      <c r="G137" s="37"/>
      <c r="H137" s="38">
        <v>0</v>
      </c>
      <c r="I137" s="36" t="s">
        <v>215</v>
      </c>
      <c r="J137" s="37"/>
      <c r="K137" s="37"/>
      <c r="L137" s="37"/>
      <c r="M137" s="37"/>
      <c r="N137" s="37"/>
      <c r="O137" s="44"/>
      <c r="P137" s="44"/>
      <c r="Q137" s="44"/>
      <c r="R137" s="44"/>
      <c r="S137" s="44"/>
      <c r="T137" s="44"/>
      <c r="U137" s="37"/>
      <c r="V137" s="39">
        <v>67</v>
      </c>
    </row>
    <row r="138" spans="1:23" ht="12.75">
      <c r="A138" s="141" t="s">
        <v>112</v>
      </c>
      <c r="B138" s="32"/>
      <c r="C138" s="33"/>
      <c r="D138" s="33"/>
      <c r="E138" s="33"/>
      <c r="F138" s="33"/>
      <c r="G138" s="33"/>
      <c r="H138" s="34">
        <v>0</v>
      </c>
      <c r="I138" s="36" t="s">
        <v>216</v>
      </c>
      <c r="J138" s="33"/>
      <c r="K138" s="33"/>
      <c r="L138" s="33"/>
      <c r="M138" s="33"/>
      <c r="N138" s="33"/>
      <c r="O138" s="33"/>
      <c r="P138" s="33"/>
      <c r="Q138" s="33"/>
      <c r="R138" s="33"/>
      <c r="S138" s="33"/>
      <c r="T138" s="33"/>
      <c r="U138" s="33"/>
      <c r="V138" s="35">
        <v>235</v>
      </c>
      <c r="W138" s="16"/>
    </row>
    <row r="139" spans="1:23" ht="12.75">
      <c r="A139" s="141" t="s">
        <v>168</v>
      </c>
      <c r="B139" s="36"/>
      <c r="C139" s="33"/>
      <c r="D139" s="33"/>
      <c r="E139" s="33"/>
      <c r="F139" s="33"/>
      <c r="G139" s="33"/>
      <c r="H139" s="34">
        <v>0</v>
      </c>
      <c r="J139" s="33"/>
      <c r="K139" s="33"/>
      <c r="L139" s="33"/>
      <c r="M139" s="33"/>
      <c r="N139" s="33"/>
      <c r="O139" s="33"/>
      <c r="P139" s="33"/>
      <c r="Q139" s="33"/>
      <c r="R139" s="33"/>
      <c r="S139" s="33"/>
      <c r="T139" s="33"/>
      <c r="U139" s="33"/>
      <c r="V139" s="35">
        <v>0</v>
      </c>
      <c r="W139" s="16"/>
    </row>
    <row r="140" spans="1:23" ht="12.75">
      <c r="A140" s="141" t="s">
        <v>107</v>
      </c>
      <c r="B140" s="32"/>
      <c r="C140" s="33"/>
      <c r="D140" s="33"/>
      <c r="E140" s="33"/>
      <c r="F140" s="33"/>
      <c r="G140" s="33"/>
      <c r="H140" s="34">
        <v>0</v>
      </c>
      <c r="I140" s="51"/>
      <c r="J140" s="33"/>
      <c r="K140" s="33"/>
      <c r="L140" s="33"/>
      <c r="M140" s="33"/>
      <c r="N140" s="33"/>
      <c r="O140" s="33"/>
      <c r="P140" s="33"/>
      <c r="Q140" s="33"/>
      <c r="R140" s="33"/>
      <c r="S140" s="33"/>
      <c r="T140" s="33"/>
      <c r="U140" s="33"/>
      <c r="V140" s="35">
        <v>0</v>
      </c>
      <c r="W140" s="16"/>
    </row>
    <row r="141" spans="1:23" ht="12.75">
      <c r="A141" s="141" t="s">
        <v>108</v>
      </c>
      <c r="B141" s="32"/>
      <c r="C141" s="33"/>
      <c r="D141" s="33"/>
      <c r="E141" s="33"/>
      <c r="F141" s="33"/>
      <c r="G141" s="33"/>
      <c r="H141" s="34">
        <v>0</v>
      </c>
      <c r="I141" s="32"/>
      <c r="J141" s="33"/>
      <c r="K141" s="33"/>
      <c r="L141" s="33"/>
      <c r="M141" s="33"/>
      <c r="N141" s="33"/>
      <c r="O141" s="33"/>
      <c r="P141" s="33"/>
      <c r="Q141" s="33"/>
      <c r="R141" s="33"/>
      <c r="S141" s="33"/>
      <c r="T141" s="33"/>
      <c r="U141" s="33"/>
      <c r="V141" s="35">
        <v>0</v>
      </c>
      <c r="W141" s="16"/>
    </row>
    <row r="142" spans="1:23" ht="12.75">
      <c r="A142" s="141" t="s">
        <v>109</v>
      </c>
      <c r="B142" s="45"/>
      <c r="C142" s="46"/>
      <c r="D142" s="46"/>
      <c r="E142" s="46"/>
      <c r="F142" s="46"/>
      <c r="G142" s="46"/>
      <c r="H142" s="47">
        <v>0</v>
      </c>
      <c r="I142" s="48"/>
      <c r="J142" s="46"/>
      <c r="K142" s="46"/>
      <c r="L142" s="46"/>
      <c r="M142" s="46"/>
      <c r="N142" s="46"/>
      <c r="O142" s="46"/>
      <c r="P142" s="46"/>
      <c r="Q142" s="46"/>
      <c r="R142" s="46"/>
      <c r="S142" s="46"/>
      <c r="T142" s="46"/>
      <c r="U142" s="46"/>
      <c r="V142" s="49">
        <v>0</v>
      </c>
      <c r="W142" s="16"/>
    </row>
    <row r="143" spans="1:23" ht="13.5" thickBot="1">
      <c r="A143" s="180" t="s">
        <v>110</v>
      </c>
      <c r="B143" s="51"/>
      <c r="C143" s="33"/>
      <c r="D143" s="33"/>
      <c r="E143" s="33"/>
      <c r="F143" s="33"/>
      <c r="G143" s="33"/>
      <c r="H143" s="34">
        <v>0</v>
      </c>
      <c r="I143" s="51" t="s">
        <v>217</v>
      </c>
      <c r="J143" s="33"/>
      <c r="K143" s="33"/>
      <c r="L143" s="33"/>
      <c r="M143" s="33"/>
      <c r="N143" s="33"/>
      <c r="O143" s="33"/>
      <c r="P143" s="33"/>
      <c r="Q143" s="33"/>
      <c r="R143" s="33"/>
      <c r="S143" s="33"/>
      <c r="T143" s="33"/>
      <c r="U143" s="33"/>
      <c r="V143" s="38">
        <v>200</v>
      </c>
      <c r="W143" s="16"/>
    </row>
    <row r="144" spans="1:22" ht="13.5" thickBot="1">
      <c r="A144" s="52" t="s">
        <v>64</v>
      </c>
      <c r="B144" s="27"/>
      <c r="C144" s="28"/>
      <c r="D144" s="28"/>
      <c r="E144" s="28"/>
      <c r="F144" s="28"/>
      <c r="G144" s="28"/>
      <c r="H144" s="29">
        <f>SUM(H145:H162)</f>
        <v>1400</v>
      </c>
      <c r="I144" s="27"/>
      <c r="J144" s="28"/>
      <c r="K144" s="28"/>
      <c r="L144" s="28"/>
      <c r="M144" s="28"/>
      <c r="N144" s="28"/>
      <c r="O144" s="28"/>
      <c r="P144" s="28"/>
      <c r="Q144" s="28"/>
      <c r="R144" s="28"/>
      <c r="S144" s="28"/>
      <c r="T144" s="28"/>
      <c r="U144" s="28"/>
      <c r="V144" s="29">
        <f>SUM(V145:V162)</f>
        <v>2110</v>
      </c>
    </row>
    <row r="145" spans="1:22" s="40" customFormat="1" ht="12.75">
      <c r="A145" s="50" t="s">
        <v>65</v>
      </c>
      <c r="B145" s="441" t="s">
        <v>205</v>
      </c>
      <c r="C145" s="442"/>
      <c r="D145" s="442"/>
      <c r="E145" s="442"/>
      <c r="F145" s="442"/>
      <c r="G145" s="443"/>
      <c r="H145" s="53">
        <v>80</v>
      </c>
      <c r="I145" s="441" t="s">
        <v>218</v>
      </c>
      <c r="J145" s="442"/>
      <c r="K145" s="442"/>
      <c r="L145" s="442"/>
      <c r="M145" s="442"/>
      <c r="N145" s="442"/>
      <c r="O145" s="442"/>
      <c r="P145" s="442"/>
      <c r="Q145" s="442"/>
      <c r="R145" s="442"/>
      <c r="S145" s="442"/>
      <c r="T145" s="442"/>
      <c r="U145" s="443"/>
      <c r="V145" s="54">
        <v>150</v>
      </c>
    </row>
    <row r="146" spans="1:22" s="40" customFormat="1" ht="12.75">
      <c r="A146" s="31" t="s">
        <v>1</v>
      </c>
      <c r="B146" s="36"/>
      <c r="C146" s="37"/>
      <c r="D146" s="37"/>
      <c r="E146" s="37"/>
      <c r="F146" s="37"/>
      <c r="G146" s="37"/>
      <c r="H146" s="38">
        <v>0</v>
      </c>
      <c r="I146" s="36"/>
      <c r="J146" s="37"/>
      <c r="K146" s="37"/>
      <c r="L146" s="37"/>
      <c r="M146" s="37"/>
      <c r="N146" s="37"/>
      <c r="O146" s="37"/>
      <c r="P146" s="37"/>
      <c r="Q146" s="37"/>
      <c r="R146" s="37"/>
      <c r="S146" s="37"/>
      <c r="T146" s="37"/>
      <c r="U146" s="37"/>
      <c r="V146" s="39"/>
    </row>
    <row r="147" spans="1:22" s="40" customFormat="1" ht="36.75" customHeight="1">
      <c r="A147" s="55" t="s">
        <v>95</v>
      </c>
      <c r="B147" s="36"/>
      <c r="C147" s="37"/>
      <c r="D147" s="37"/>
      <c r="E147" s="37"/>
      <c r="F147" s="37"/>
      <c r="G147" s="37"/>
      <c r="H147" s="38">
        <v>0</v>
      </c>
      <c r="I147" s="444" t="s">
        <v>219</v>
      </c>
      <c r="J147" s="445"/>
      <c r="K147" s="445"/>
      <c r="L147" s="445"/>
      <c r="M147" s="445"/>
      <c r="N147" s="445"/>
      <c r="O147" s="445"/>
      <c r="P147" s="445"/>
      <c r="Q147" s="445"/>
      <c r="R147" s="445"/>
      <c r="S147" s="445"/>
      <c r="T147" s="445"/>
      <c r="U147" s="446"/>
      <c r="V147" s="39">
        <v>1030</v>
      </c>
    </row>
    <row r="148" spans="1:22" s="40" customFormat="1" ht="21" customHeight="1">
      <c r="A148" s="31" t="s">
        <v>2</v>
      </c>
      <c r="B148" s="444" t="s">
        <v>206</v>
      </c>
      <c r="C148" s="445"/>
      <c r="D148" s="445"/>
      <c r="E148" s="445"/>
      <c r="F148" s="445"/>
      <c r="G148" s="446"/>
      <c r="H148" s="38">
        <v>100</v>
      </c>
      <c r="I148" s="650" t="s">
        <v>244</v>
      </c>
      <c r="J148" s="681"/>
      <c r="K148" s="681"/>
      <c r="L148" s="681"/>
      <c r="M148" s="681"/>
      <c r="N148" s="681"/>
      <c r="O148" s="681"/>
      <c r="P148" s="681"/>
      <c r="Q148" s="681"/>
      <c r="R148" s="681"/>
      <c r="S148" s="681"/>
      <c r="T148" s="681"/>
      <c r="U148" s="682"/>
      <c r="V148" s="39">
        <v>110</v>
      </c>
    </row>
    <row r="149" spans="1:22" s="40" customFormat="1" ht="12.75">
      <c r="A149" s="31" t="s">
        <v>96</v>
      </c>
      <c r="B149" s="36"/>
      <c r="C149" s="44"/>
      <c r="D149" s="37"/>
      <c r="E149" s="37"/>
      <c r="F149" s="37"/>
      <c r="G149" s="37"/>
      <c r="H149" s="38">
        <v>0</v>
      </c>
      <c r="I149" s="444" t="s">
        <v>229</v>
      </c>
      <c r="J149" s="445"/>
      <c r="K149" s="445"/>
      <c r="L149" s="445"/>
      <c r="M149" s="445"/>
      <c r="N149" s="445"/>
      <c r="O149" s="445"/>
      <c r="P149" s="445"/>
      <c r="Q149" s="445"/>
      <c r="R149" s="445"/>
      <c r="S149" s="445"/>
      <c r="T149" s="445"/>
      <c r="U149" s="446"/>
      <c r="V149" s="39">
        <v>170</v>
      </c>
    </row>
    <row r="150" spans="1:22" s="40" customFormat="1" ht="12.75" customHeight="1">
      <c r="A150" s="485" t="s">
        <v>97</v>
      </c>
      <c r="B150" s="435" t="s">
        <v>207</v>
      </c>
      <c r="C150" s="436"/>
      <c r="D150" s="436"/>
      <c r="E150" s="436"/>
      <c r="F150" s="436"/>
      <c r="G150" s="437"/>
      <c r="H150" s="487">
        <v>63</v>
      </c>
      <c r="I150" s="491" t="s">
        <v>201</v>
      </c>
      <c r="J150" s="492"/>
      <c r="K150" s="492"/>
      <c r="L150" s="492"/>
      <c r="M150" s="492"/>
      <c r="N150" s="492"/>
      <c r="O150" s="492"/>
      <c r="P150" s="492"/>
      <c r="Q150" s="492"/>
      <c r="R150" s="492"/>
      <c r="S150" s="492"/>
      <c r="T150" s="492"/>
      <c r="U150" s="493"/>
      <c r="V150" s="487">
        <v>430</v>
      </c>
    </row>
    <row r="151" spans="1:22" s="40" customFormat="1" ht="10.5" customHeight="1">
      <c r="A151" s="486"/>
      <c r="B151" s="447"/>
      <c r="C151" s="448"/>
      <c r="D151" s="448"/>
      <c r="E151" s="448"/>
      <c r="F151" s="448"/>
      <c r="G151" s="449"/>
      <c r="H151" s="488"/>
      <c r="I151" s="494"/>
      <c r="J151" s="495"/>
      <c r="K151" s="495"/>
      <c r="L151" s="495"/>
      <c r="M151" s="495"/>
      <c r="N151" s="495"/>
      <c r="O151" s="495"/>
      <c r="P151" s="495"/>
      <c r="Q151" s="495"/>
      <c r="R151" s="495"/>
      <c r="S151" s="495"/>
      <c r="T151" s="495"/>
      <c r="U151" s="496"/>
      <c r="V151" s="488"/>
    </row>
    <row r="152" spans="1:22" s="40" customFormat="1" ht="12.75">
      <c r="A152" s="31" t="s">
        <v>3</v>
      </c>
      <c r="B152" s="36"/>
      <c r="C152" s="37"/>
      <c r="D152" s="37"/>
      <c r="E152" s="37"/>
      <c r="F152" s="37"/>
      <c r="G152" s="37"/>
      <c r="H152" s="38">
        <v>0</v>
      </c>
      <c r="I152" s="444" t="s">
        <v>243</v>
      </c>
      <c r="J152" s="445"/>
      <c r="K152" s="445"/>
      <c r="L152" s="445"/>
      <c r="M152" s="445"/>
      <c r="N152" s="445"/>
      <c r="O152" s="445"/>
      <c r="P152" s="445"/>
      <c r="Q152" s="445"/>
      <c r="R152" s="445"/>
      <c r="S152" s="445"/>
      <c r="T152" s="445"/>
      <c r="U152" s="446"/>
      <c r="V152" s="39">
        <v>70</v>
      </c>
    </row>
    <row r="153" spans="1:22" s="40" customFormat="1" ht="12.75">
      <c r="A153" s="57" t="s">
        <v>4</v>
      </c>
      <c r="B153" s="36"/>
      <c r="C153" s="37"/>
      <c r="D153" s="37"/>
      <c r="E153" s="37"/>
      <c r="F153" s="37"/>
      <c r="G153" s="37"/>
      <c r="H153" s="38">
        <v>0</v>
      </c>
      <c r="I153" s="36"/>
      <c r="J153" s="37"/>
      <c r="K153" s="37"/>
      <c r="L153" s="37"/>
      <c r="M153" s="37"/>
      <c r="N153" s="37"/>
      <c r="O153" s="37"/>
      <c r="P153" s="37"/>
      <c r="Q153" s="37"/>
      <c r="R153" s="37"/>
      <c r="S153" s="37"/>
      <c r="T153" s="37"/>
      <c r="U153" s="37"/>
      <c r="V153" s="39">
        <v>0</v>
      </c>
    </row>
    <row r="154" spans="1:22" s="40" customFormat="1" ht="22.5" customHeight="1">
      <c r="A154" s="450" t="s">
        <v>101</v>
      </c>
      <c r="B154" s="435" t="s">
        <v>209</v>
      </c>
      <c r="C154" s="436"/>
      <c r="D154" s="436"/>
      <c r="E154" s="436"/>
      <c r="F154" s="436"/>
      <c r="G154" s="437"/>
      <c r="H154" s="487">
        <v>532</v>
      </c>
      <c r="I154" s="435"/>
      <c r="J154" s="436"/>
      <c r="K154" s="436"/>
      <c r="L154" s="436"/>
      <c r="M154" s="436"/>
      <c r="N154" s="436"/>
      <c r="O154" s="436"/>
      <c r="P154" s="436"/>
      <c r="Q154" s="436"/>
      <c r="R154" s="436"/>
      <c r="S154" s="436"/>
      <c r="T154" s="436"/>
      <c r="U154" s="437"/>
      <c r="V154" s="487">
        <v>0</v>
      </c>
    </row>
    <row r="155" spans="1:22" s="40" customFormat="1" ht="12.75">
      <c r="A155" s="451"/>
      <c r="B155" s="447"/>
      <c r="C155" s="448"/>
      <c r="D155" s="448"/>
      <c r="E155" s="448"/>
      <c r="F155" s="448"/>
      <c r="G155" s="449"/>
      <c r="H155" s="488"/>
      <c r="I155" s="447"/>
      <c r="J155" s="448"/>
      <c r="K155" s="448"/>
      <c r="L155" s="448"/>
      <c r="M155" s="448"/>
      <c r="N155" s="448"/>
      <c r="O155" s="448"/>
      <c r="P155" s="448"/>
      <c r="Q155" s="448"/>
      <c r="R155" s="448"/>
      <c r="S155" s="448"/>
      <c r="T155" s="448"/>
      <c r="U155" s="449"/>
      <c r="V155" s="488"/>
    </row>
    <row r="156" spans="1:22" s="40" customFormat="1" ht="23.25" customHeight="1">
      <c r="A156" s="55" t="s">
        <v>5</v>
      </c>
      <c r="B156" s="435" t="s">
        <v>202</v>
      </c>
      <c r="C156" s="436"/>
      <c r="D156" s="436"/>
      <c r="E156" s="436"/>
      <c r="F156" s="436"/>
      <c r="G156" s="437"/>
      <c r="H156" s="38">
        <v>200</v>
      </c>
      <c r="I156" s="36"/>
      <c r="J156" s="37"/>
      <c r="K156" s="37"/>
      <c r="L156" s="37"/>
      <c r="M156" s="37"/>
      <c r="N156" s="37"/>
      <c r="O156" s="37"/>
      <c r="P156" s="37"/>
      <c r="Q156" s="37"/>
      <c r="R156" s="37"/>
      <c r="S156" s="37"/>
      <c r="T156" s="37"/>
      <c r="U156" s="37"/>
      <c r="V156" s="38">
        <v>0</v>
      </c>
    </row>
    <row r="157" spans="1:22" s="40" customFormat="1" ht="22.5" customHeight="1">
      <c r="A157" s="450" t="s">
        <v>82</v>
      </c>
      <c r="B157" s="435" t="s">
        <v>203</v>
      </c>
      <c r="C157" s="436"/>
      <c r="D157" s="436"/>
      <c r="E157" s="436"/>
      <c r="F157" s="436"/>
      <c r="G157" s="437"/>
      <c r="H157" s="487">
        <v>225</v>
      </c>
      <c r="I157" s="435"/>
      <c r="J157" s="436"/>
      <c r="K157" s="436"/>
      <c r="L157" s="436"/>
      <c r="M157" s="436"/>
      <c r="N157" s="436"/>
      <c r="O157" s="436"/>
      <c r="P157" s="436"/>
      <c r="Q157" s="436"/>
      <c r="R157" s="436"/>
      <c r="S157" s="436"/>
      <c r="T157" s="436"/>
      <c r="U157" s="437"/>
      <c r="V157" s="487">
        <v>0</v>
      </c>
    </row>
    <row r="158" spans="1:22" s="40" customFormat="1" ht="32.25" customHeight="1">
      <c r="A158" s="451"/>
      <c r="B158" s="447"/>
      <c r="C158" s="448"/>
      <c r="D158" s="448"/>
      <c r="E158" s="448"/>
      <c r="F158" s="448"/>
      <c r="G158" s="449"/>
      <c r="H158" s="488"/>
      <c r="I158" s="447"/>
      <c r="J158" s="448"/>
      <c r="K158" s="448"/>
      <c r="L158" s="448"/>
      <c r="M158" s="448"/>
      <c r="N158" s="448"/>
      <c r="O158" s="448"/>
      <c r="P158" s="448"/>
      <c r="Q158" s="448"/>
      <c r="R158" s="448"/>
      <c r="S158" s="448"/>
      <c r="T158" s="448"/>
      <c r="U158" s="449"/>
      <c r="V158" s="488"/>
    </row>
    <row r="159" spans="1:22" s="40" customFormat="1" ht="12.75" customHeight="1">
      <c r="A159" s="450" t="s">
        <v>100</v>
      </c>
      <c r="B159" s="435" t="s">
        <v>204</v>
      </c>
      <c r="C159" s="436"/>
      <c r="D159" s="436"/>
      <c r="E159" s="436"/>
      <c r="F159" s="436"/>
      <c r="G159" s="437"/>
      <c r="H159" s="487">
        <v>150</v>
      </c>
      <c r="I159" s="435"/>
      <c r="J159" s="436"/>
      <c r="K159" s="436"/>
      <c r="L159" s="436"/>
      <c r="M159" s="436"/>
      <c r="N159" s="436"/>
      <c r="O159" s="436"/>
      <c r="P159" s="436"/>
      <c r="Q159" s="436"/>
      <c r="R159" s="436"/>
      <c r="S159" s="436"/>
      <c r="T159" s="436"/>
      <c r="U159" s="437"/>
      <c r="V159" s="487">
        <v>0</v>
      </c>
    </row>
    <row r="160" spans="1:22" s="40" customFormat="1" ht="12.75" customHeight="1">
      <c r="A160" s="451"/>
      <c r="B160" s="447"/>
      <c r="C160" s="448"/>
      <c r="D160" s="448"/>
      <c r="E160" s="448"/>
      <c r="F160" s="448"/>
      <c r="G160" s="449"/>
      <c r="H160" s="488"/>
      <c r="I160" s="447"/>
      <c r="J160" s="448"/>
      <c r="K160" s="448"/>
      <c r="L160" s="448"/>
      <c r="M160" s="448"/>
      <c r="N160" s="448"/>
      <c r="O160" s="448"/>
      <c r="P160" s="448"/>
      <c r="Q160" s="448"/>
      <c r="R160" s="448"/>
      <c r="S160" s="448"/>
      <c r="T160" s="448"/>
      <c r="U160" s="449"/>
      <c r="V160" s="488"/>
    </row>
    <row r="161" spans="1:22" s="40" customFormat="1" ht="19.5" customHeight="1">
      <c r="A161" s="31" t="s">
        <v>31</v>
      </c>
      <c r="B161" s="435" t="s">
        <v>208</v>
      </c>
      <c r="C161" s="436"/>
      <c r="D161" s="436"/>
      <c r="E161" s="436"/>
      <c r="F161" s="436"/>
      <c r="G161" s="437"/>
      <c r="H161" s="38">
        <v>50</v>
      </c>
      <c r="I161" s="36"/>
      <c r="J161" s="37"/>
      <c r="K161" s="37"/>
      <c r="L161" s="37"/>
      <c r="M161" s="37"/>
      <c r="N161" s="37"/>
      <c r="O161" s="37"/>
      <c r="P161" s="37"/>
      <c r="Q161" s="37"/>
      <c r="R161" s="37"/>
      <c r="S161" s="37"/>
      <c r="T161" s="37"/>
      <c r="U161" s="37"/>
      <c r="V161" s="39">
        <v>0</v>
      </c>
    </row>
    <row r="162" spans="1:22" s="40" customFormat="1" ht="13.5" thickBot="1">
      <c r="A162" s="60" t="s">
        <v>32</v>
      </c>
      <c r="B162" s="61"/>
      <c r="C162" s="62"/>
      <c r="D162" s="62"/>
      <c r="E162" s="62"/>
      <c r="F162" s="62"/>
      <c r="G162" s="62"/>
      <c r="H162" s="63">
        <v>0</v>
      </c>
      <c r="I162" s="438" t="s">
        <v>221</v>
      </c>
      <c r="J162" s="439"/>
      <c r="K162" s="439"/>
      <c r="L162" s="439"/>
      <c r="M162" s="439"/>
      <c r="N162" s="439"/>
      <c r="O162" s="439"/>
      <c r="P162" s="439"/>
      <c r="Q162" s="439"/>
      <c r="R162" s="439"/>
      <c r="S162" s="439"/>
      <c r="T162" s="439"/>
      <c r="U162" s="440"/>
      <c r="V162" s="64">
        <v>150</v>
      </c>
    </row>
    <row r="163" ht="12.75">
      <c r="A163" s="65"/>
    </row>
    <row r="164" spans="1:24" ht="18.75" thickBot="1">
      <c r="A164" s="461" t="s">
        <v>145</v>
      </c>
      <c r="B164" s="461"/>
      <c r="C164" s="461"/>
      <c r="D164" s="461"/>
      <c r="E164" s="461"/>
      <c r="F164" s="461"/>
      <c r="G164" s="461"/>
      <c r="H164" s="461"/>
      <c r="I164" s="461"/>
      <c r="J164" s="461"/>
      <c r="K164" s="461"/>
      <c r="L164" s="461"/>
      <c r="M164" s="461"/>
      <c r="N164" s="461"/>
      <c r="O164" s="461"/>
      <c r="P164" s="461"/>
      <c r="Q164" s="461"/>
      <c r="R164" s="461"/>
      <c r="S164" s="461"/>
      <c r="T164" s="461"/>
      <c r="U164" s="461"/>
      <c r="V164" s="461"/>
      <c r="X164" s="66"/>
    </row>
    <row r="165" spans="1:34" ht="22.5">
      <c r="A165" s="18" t="s">
        <v>0</v>
      </c>
      <c r="B165" s="139" t="s">
        <v>86</v>
      </c>
      <c r="C165" s="139"/>
      <c r="D165" s="139"/>
      <c r="E165" s="139"/>
      <c r="F165" s="139"/>
      <c r="G165" s="140"/>
      <c r="H165" s="19" t="s">
        <v>29</v>
      </c>
      <c r="I165" s="462" t="s">
        <v>85</v>
      </c>
      <c r="J165" s="463"/>
      <c r="K165" s="463"/>
      <c r="L165" s="463"/>
      <c r="M165" s="463"/>
      <c r="N165" s="463"/>
      <c r="O165" s="463"/>
      <c r="P165" s="463"/>
      <c r="Q165" s="463"/>
      <c r="R165" s="463"/>
      <c r="S165" s="463"/>
      <c r="T165" s="463"/>
      <c r="U165" s="464"/>
      <c r="V165" s="20" t="s">
        <v>29</v>
      </c>
      <c r="W165" s="16"/>
      <c r="X165" s="17"/>
      <c r="Y165" s="489"/>
      <c r="Z165" s="490"/>
      <c r="AC165" s="17"/>
      <c r="AH165" s="17"/>
    </row>
    <row r="166" spans="1:34" ht="13.5" thickBot="1">
      <c r="A166" s="21"/>
      <c r="B166" s="22" t="s">
        <v>61</v>
      </c>
      <c r="C166" s="22"/>
      <c r="D166" s="22"/>
      <c r="E166" s="22"/>
      <c r="F166" s="22"/>
      <c r="G166" s="23"/>
      <c r="H166" s="24" t="s">
        <v>62</v>
      </c>
      <c r="I166" s="465"/>
      <c r="J166" s="466"/>
      <c r="K166" s="466"/>
      <c r="L166" s="466"/>
      <c r="M166" s="466"/>
      <c r="N166" s="466"/>
      <c r="O166" s="466"/>
      <c r="P166" s="466"/>
      <c r="Q166" s="466"/>
      <c r="R166" s="466"/>
      <c r="S166" s="466"/>
      <c r="T166" s="466"/>
      <c r="U166" s="467"/>
      <c r="V166" s="25" t="s">
        <v>63</v>
      </c>
      <c r="W166" s="16"/>
      <c r="X166" s="17"/>
      <c r="Y166" s="489"/>
      <c r="Z166" s="490"/>
      <c r="AC166" s="17"/>
      <c r="AH166" s="17"/>
    </row>
    <row r="167" spans="1:23" ht="13.5" thickBot="1">
      <c r="A167" s="26" t="s">
        <v>66</v>
      </c>
      <c r="B167" s="27"/>
      <c r="C167" s="28"/>
      <c r="D167" s="28"/>
      <c r="E167" s="28"/>
      <c r="F167" s="28"/>
      <c r="G167" s="28"/>
      <c r="H167" s="29">
        <f>SUM(H168:H192)</f>
        <v>7474</v>
      </c>
      <c r="I167" s="27"/>
      <c r="J167" s="28"/>
      <c r="K167" s="28"/>
      <c r="L167" s="28"/>
      <c r="M167" s="28"/>
      <c r="N167" s="28"/>
      <c r="O167" s="28"/>
      <c r="P167" s="28"/>
      <c r="Q167" s="28"/>
      <c r="R167" s="28"/>
      <c r="S167" s="28"/>
      <c r="T167" s="28"/>
      <c r="U167" s="28"/>
      <c r="V167" s="29">
        <f>SUM(I168+V168+V170+V171+V172+V173+V175+V177+V178+V179+V180+V181+V182+V183+V184+V185+V186+V187+V188+V189+V190+V191+V192)</f>
        <v>8146</v>
      </c>
      <c r="W167" s="67"/>
    </row>
    <row r="168" spans="1:22" s="40" customFormat="1" ht="12.75">
      <c r="A168" s="478" t="s">
        <v>115</v>
      </c>
      <c r="B168" s="479" t="s">
        <v>174</v>
      </c>
      <c r="C168" s="480"/>
      <c r="D168" s="480"/>
      <c r="E168" s="480"/>
      <c r="F168" s="480"/>
      <c r="G168" s="481"/>
      <c r="H168" s="517">
        <f>370+45</f>
        <v>415</v>
      </c>
      <c r="I168" s="513"/>
      <c r="J168" s="513"/>
      <c r="K168" s="513"/>
      <c r="L168" s="513"/>
      <c r="M168" s="513"/>
      <c r="N168" s="513"/>
      <c r="O168" s="513"/>
      <c r="P168" s="513"/>
      <c r="Q168" s="513"/>
      <c r="R168" s="513"/>
      <c r="S168" s="513"/>
      <c r="T168" s="513"/>
      <c r="U168" s="514"/>
      <c r="V168" s="511">
        <v>0</v>
      </c>
    </row>
    <row r="169" spans="1:22" s="40" customFormat="1" ht="7.5" customHeight="1">
      <c r="A169" s="451"/>
      <c r="B169" s="447"/>
      <c r="C169" s="448"/>
      <c r="D169" s="448"/>
      <c r="E169" s="448"/>
      <c r="F169" s="448"/>
      <c r="G169" s="449"/>
      <c r="H169" s="453"/>
      <c r="I169" s="515"/>
      <c r="J169" s="515"/>
      <c r="K169" s="515"/>
      <c r="L169" s="515"/>
      <c r="M169" s="515"/>
      <c r="N169" s="515"/>
      <c r="O169" s="515"/>
      <c r="P169" s="515"/>
      <c r="Q169" s="515"/>
      <c r="R169" s="515"/>
      <c r="S169" s="515"/>
      <c r="T169" s="515"/>
      <c r="U169" s="516"/>
      <c r="V169" s="512"/>
    </row>
    <row r="170" spans="1:22" s="40" customFormat="1" ht="22.5" customHeight="1">
      <c r="A170" s="50" t="s">
        <v>116</v>
      </c>
      <c r="B170" s="68" t="s">
        <v>195</v>
      </c>
      <c r="C170" s="69"/>
      <c r="D170" s="69"/>
      <c r="E170" s="69"/>
      <c r="F170" s="69"/>
      <c r="G170" s="69"/>
      <c r="H170" s="70">
        <v>200</v>
      </c>
      <c r="I170" s="68" t="s">
        <v>235</v>
      </c>
      <c r="J170" s="69"/>
      <c r="K170" s="69"/>
      <c r="L170" s="69"/>
      <c r="M170" s="69"/>
      <c r="N170" s="69"/>
      <c r="O170" s="69"/>
      <c r="P170" s="69"/>
      <c r="Q170" s="69"/>
      <c r="R170" s="69"/>
      <c r="S170" s="69"/>
      <c r="T170" s="69"/>
      <c r="U170" s="69"/>
      <c r="V170" s="59">
        <f>800</f>
        <v>800</v>
      </c>
    </row>
    <row r="171" spans="1:22" s="40" customFormat="1" ht="12.75">
      <c r="A171" s="31" t="s">
        <v>117</v>
      </c>
      <c r="B171" s="36"/>
      <c r="C171" s="43"/>
      <c r="D171" s="37"/>
      <c r="E171" s="37"/>
      <c r="F171" s="37"/>
      <c r="G171" s="37"/>
      <c r="H171" s="38">
        <v>0</v>
      </c>
      <c r="I171" s="36" t="s">
        <v>176</v>
      </c>
      <c r="J171" s="37"/>
      <c r="K171" s="37"/>
      <c r="L171" s="37"/>
      <c r="M171" s="37"/>
      <c r="N171" s="37"/>
      <c r="O171" s="37"/>
      <c r="P171" s="37"/>
      <c r="Q171" s="37"/>
      <c r="R171" s="37"/>
      <c r="S171" s="37"/>
      <c r="T171" s="37"/>
      <c r="U171" s="37"/>
      <c r="V171" s="39">
        <v>60</v>
      </c>
    </row>
    <row r="172" spans="1:22" s="40" customFormat="1" ht="23.25" customHeight="1">
      <c r="A172" s="57" t="s">
        <v>118</v>
      </c>
      <c r="B172" s="36"/>
      <c r="C172" s="37"/>
      <c r="D172" s="37"/>
      <c r="E172" s="37"/>
      <c r="F172" s="37"/>
      <c r="G172" s="37"/>
      <c r="H172" s="38">
        <v>0</v>
      </c>
      <c r="I172" s="36" t="s">
        <v>177</v>
      </c>
      <c r="J172" s="37"/>
      <c r="K172" s="37"/>
      <c r="L172" s="37"/>
      <c r="M172" s="37"/>
      <c r="N172" s="37"/>
      <c r="O172" s="37"/>
      <c r="P172" s="37"/>
      <c r="Q172" s="37"/>
      <c r="R172" s="37"/>
      <c r="S172" s="37"/>
      <c r="T172" s="37"/>
      <c r="U172" s="37"/>
      <c r="V172" s="58">
        <v>200</v>
      </c>
    </row>
    <row r="173" spans="1:26" s="40" customFormat="1" ht="12.75" customHeight="1">
      <c r="A173" s="508" t="s">
        <v>119</v>
      </c>
      <c r="B173" s="435" t="s">
        <v>179</v>
      </c>
      <c r="C173" s="497"/>
      <c r="D173" s="497"/>
      <c r="E173" s="497"/>
      <c r="F173" s="497"/>
      <c r="G173" s="498"/>
      <c r="H173" s="487">
        <v>484</v>
      </c>
      <c r="I173" s="435" t="s">
        <v>178</v>
      </c>
      <c r="J173" s="497"/>
      <c r="K173" s="497"/>
      <c r="L173" s="497"/>
      <c r="M173" s="497"/>
      <c r="N173" s="497"/>
      <c r="O173" s="497"/>
      <c r="P173" s="497"/>
      <c r="Q173" s="497"/>
      <c r="R173" s="497"/>
      <c r="S173" s="497"/>
      <c r="T173" s="497"/>
      <c r="U173" s="497"/>
      <c r="V173" s="510">
        <v>1304</v>
      </c>
      <c r="W173" s="8"/>
      <c r="X173" s="8"/>
      <c r="Y173" s="8"/>
      <c r="Z173" s="8"/>
    </row>
    <row r="174" spans="1:26" s="40" customFormat="1" ht="33.75" customHeight="1">
      <c r="A174" s="451"/>
      <c r="B174" s="519"/>
      <c r="C174" s="520"/>
      <c r="D174" s="520"/>
      <c r="E174" s="520"/>
      <c r="F174" s="520"/>
      <c r="G174" s="521"/>
      <c r="H174" s="488"/>
      <c r="I174" s="519"/>
      <c r="J174" s="520"/>
      <c r="K174" s="520"/>
      <c r="L174" s="520"/>
      <c r="M174" s="520"/>
      <c r="N174" s="520"/>
      <c r="O174" s="520"/>
      <c r="P174" s="520"/>
      <c r="Q174" s="520"/>
      <c r="R174" s="520"/>
      <c r="S174" s="520"/>
      <c r="T174" s="520"/>
      <c r="U174" s="520"/>
      <c r="V174" s="453"/>
      <c r="W174" s="8"/>
      <c r="X174" s="8"/>
      <c r="Y174" s="8"/>
      <c r="Z174" s="8"/>
    </row>
    <row r="175" spans="1:22" s="40" customFormat="1" ht="12.75">
      <c r="A175" s="485" t="s">
        <v>120</v>
      </c>
      <c r="B175" s="435" t="s">
        <v>180</v>
      </c>
      <c r="C175" s="436"/>
      <c r="D175" s="436"/>
      <c r="E175" s="436"/>
      <c r="F175" s="436"/>
      <c r="G175" s="437"/>
      <c r="H175" s="452">
        <v>750</v>
      </c>
      <c r="I175" s="644" t="s">
        <v>246</v>
      </c>
      <c r="J175" s="652"/>
      <c r="K175" s="652"/>
      <c r="L175" s="652"/>
      <c r="M175" s="652"/>
      <c r="N175" s="652"/>
      <c r="O175" s="652"/>
      <c r="P175" s="652"/>
      <c r="Q175" s="652"/>
      <c r="R175" s="652"/>
      <c r="S175" s="652"/>
      <c r="T175" s="652"/>
      <c r="U175" s="653"/>
      <c r="V175" s="487">
        <f>147+137</f>
        <v>284</v>
      </c>
    </row>
    <row r="176" spans="1:22" s="40" customFormat="1" ht="42" customHeight="1">
      <c r="A176" s="518"/>
      <c r="B176" s="447"/>
      <c r="C176" s="448"/>
      <c r="D176" s="448"/>
      <c r="E176" s="448"/>
      <c r="F176" s="448"/>
      <c r="G176" s="449"/>
      <c r="H176" s="460"/>
      <c r="I176" s="654"/>
      <c r="J176" s="617"/>
      <c r="K176" s="617"/>
      <c r="L176" s="617"/>
      <c r="M176" s="617"/>
      <c r="N176" s="617"/>
      <c r="O176" s="617"/>
      <c r="P176" s="617"/>
      <c r="Q176" s="617"/>
      <c r="R176" s="617"/>
      <c r="S176" s="617"/>
      <c r="T176" s="617"/>
      <c r="U176" s="618"/>
      <c r="V176" s="512"/>
    </row>
    <row r="177" spans="1:22" s="40" customFormat="1" ht="12.75">
      <c r="A177" s="31" t="s">
        <v>121</v>
      </c>
      <c r="B177" s="36"/>
      <c r="C177" s="37"/>
      <c r="D177" s="37"/>
      <c r="E177" s="37"/>
      <c r="F177" s="37"/>
      <c r="G177" s="37"/>
      <c r="H177" s="38">
        <v>0</v>
      </c>
      <c r="I177" s="36"/>
      <c r="J177" s="37"/>
      <c r="K177" s="37"/>
      <c r="L177" s="37"/>
      <c r="M177" s="37"/>
      <c r="N177" s="37"/>
      <c r="O177" s="37"/>
      <c r="P177" s="37"/>
      <c r="Q177" s="37"/>
      <c r="R177" s="37"/>
      <c r="S177" s="37"/>
      <c r="T177" s="37"/>
      <c r="U177" s="37"/>
      <c r="V177" s="39">
        <v>0</v>
      </c>
    </row>
    <row r="178" spans="1:22" ht="33.75" customHeight="1">
      <c r="A178" s="56" t="s">
        <v>53</v>
      </c>
      <c r="B178" s="435" t="s">
        <v>248</v>
      </c>
      <c r="C178" s="436"/>
      <c r="D178" s="436"/>
      <c r="E178" s="436"/>
      <c r="F178" s="436"/>
      <c r="G178" s="437"/>
      <c r="H178" s="72">
        <f>343-33</f>
        <v>310</v>
      </c>
      <c r="I178" s="68"/>
      <c r="J178" s="73"/>
      <c r="K178" s="73"/>
      <c r="L178" s="73"/>
      <c r="M178" s="73"/>
      <c r="N178" s="73"/>
      <c r="O178" s="73"/>
      <c r="P178" s="73"/>
      <c r="Q178" s="73"/>
      <c r="R178" s="73"/>
      <c r="S178" s="73"/>
      <c r="T178" s="73"/>
      <c r="U178" s="73"/>
      <c r="V178" s="74">
        <v>0</v>
      </c>
    </row>
    <row r="179" spans="1:47" ht="12.75" customHeight="1">
      <c r="A179" s="450" t="s">
        <v>83</v>
      </c>
      <c r="B179" s="454" t="s">
        <v>241</v>
      </c>
      <c r="C179" s="455"/>
      <c r="D179" s="455"/>
      <c r="E179" s="455"/>
      <c r="F179" s="455"/>
      <c r="G179" s="456"/>
      <c r="H179" s="468">
        <v>700</v>
      </c>
      <c r="I179" s="585" t="s">
        <v>240</v>
      </c>
      <c r="J179" s="631"/>
      <c r="K179" s="631"/>
      <c r="L179" s="631"/>
      <c r="M179" s="631"/>
      <c r="N179" s="631"/>
      <c r="O179" s="631"/>
      <c r="P179" s="631"/>
      <c r="Q179" s="631"/>
      <c r="R179" s="631"/>
      <c r="S179" s="631"/>
      <c r="T179" s="631"/>
      <c r="U179" s="631"/>
      <c r="V179" s="468">
        <f>2530-700</f>
        <v>1830</v>
      </c>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row>
    <row r="180" spans="1:22" ht="29.25" customHeight="1">
      <c r="A180" s="451"/>
      <c r="B180" s="457"/>
      <c r="C180" s="458"/>
      <c r="D180" s="458"/>
      <c r="E180" s="458"/>
      <c r="F180" s="458"/>
      <c r="G180" s="459"/>
      <c r="H180" s="469"/>
      <c r="I180" s="678"/>
      <c r="J180" s="679"/>
      <c r="K180" s="679"/>
      <c r="L180" s="679"/>
      <c r="M180" s="679"/>
      <c r="N180" s="679"/>
      <c r="O180" s="679"/>
      <c r="P180" s="679"/>
      <c r="Q180" s="679"/>
      <c r="R180" s="679"/>
      <c r="S180" s="679"/>
      <c r="T180" s="679"/>
      <c r="U180" s="679"/>
      <c r="V180" s="469"/>
    </row>
    <row r="181" spans="1:22" s="40" customFormat="1" ht="12.75" customHeight="1">
      <c r="A181" s="450" t="s">
        <v>127</v>
      </c>
      <c r="B181" s="435"/>
      <c r="C181" s="436"/>
      <c r="D181" s="436"/>
      <c r="E181" s="436"/>
      <c r="F181" s="436"/>
      <c r="G181" s="437"/>
      <c r="H181" s="452">
        <v>0</v>
      </c>
      <c r="I181" s="644" t="s">
        <v>182</v>
      </c>
      <c r="J181" s="645"/>
      <c r="K181" s="645"/>
      <c r="L181" s="645"/>
      <c r="M181" s="645"/>
      <c r="N181" s="645"/>
      <c r="O181" s="645"/>
      <c r="P181" s="645"/>
      <c r="Q181" s="645"/>
      <c r="R181" s="645"/>
      <c r="S181" s="645"/>
      <c r="T181" s="645"/>
      <c r="U181" s="646"/>
      <c r="V181" s="487">
        <v>130</v>
      </c>
    </row>
    <row r="182" spans="1:22" s="40" customFormat="1" ht="12.75" customHeight="1">
      <c r="A182" s="451"/>
      <c r="B182" s="447"/>
      <c r="C182" s="448"/>
      <c r="D182" s="448"/>
      <c r="E182" s="448"/>
      <c r="F182" s="448"/>
      <c r="G182" s="449"/>
      <c r="H182" s="453"/>
      <c r="I182" s="616"/>
      <c r="J182" s="647"/>
      <c r="K182" s="647"/>
      <c r="L182" s="647"/>
      <c r="M182" s="647"/>
      <c r="N182" s="647"/>
      <c r="O182" s="647"/>
      <c r="P182" s="647"/>
      <c r="Q182" s="647"/>
      <c r="R182" s="647"/>
      <c r="S182" s="647"/>
      <c r="T182" s="647"/>
      <c r="U182" s="648"/>
      <c r="V182" s="512"/>
    </row>
    <row r="183" spans="1:22" s="40" customFormat="1" ht="88.5" customHeight="1">
      <c r="A183" s="57" t="s">
        <v>67</v>
      </c>
      <c r="B183" s="641" t="s">
        <v>238</v>
      </c>
      <c r="C183" s="642"/>
      <c r="D183" s="642"/>
      <c r="E183" s="642"/>
      <c r="F183" s="642"/>
      <c r="G183" s="642"/>
      <c r="H183" s="153">
        <f>1505-50</f>
        <v>1455</v>
      </c>
      <c r="I183" s="669" t="s">
        <v>231</v>
      </c>
      <c r="J183" s="669"/>
      <c r="K183" s="669"/>
      <c r="L183" s="669"/>
      <c r="M183" s="669"/>
      <c r="N183" s="669"/>
      <c r="O183" s="669"/>
      <c r="P183" s="669"/>
      <c r="Q183" s="669"/>
      <c r="R183" s="669"/>
      <c r="S183" s="669"/>
      <c r="T183" s="669"/>
      <c r="U183" s="670"/>
      <c r="V183" s="39">
        <v>350</v>
      </c>
    </row>
    <row r="184" spans="1:22" s="40" customFormat="1" ht="12.75">
      <c r="A184" s="450" t="s">
        <v>122</v>
      </c>
      <c r="B184" s="435" t="s">
        <v>242</v>
      </c>
      <c r="C184" s="497"/>
      <c r="D184" s="497"/>
      <c r="E184" s="497"/>
      <c r="F184" s="497"/>
      <c r="G184" s="498"/>
      <c r="H184" s="487">
        <f>200+60+30+120+250+400+220+300+280+200+200</f>
        <v>2260</v>
      </c>
      <c r="I184" s="435" t="s">
        <v>237</v>
      </c>
      <c r="J184" s="436"/>
      <c r="K184" s="436"/>
      <c r="L184" s="436"/>
      <c r="M184" s="436"/>
      <c r="N184" s="436"/>
      <c r="O184" s="436"/>
      <c r="P184" s="436"/>
      <c r="Q184" s="436"/>
      <c r="R184" s="436"/>
      <c r="S184" s="436"/>
      <c r="T184" s="436"/>
      <c r="U184" s="437"/>
      <c r="V184" s="487">
        <v>363</v>
      </c>
    </row>
    <row r="185" spans="1:22" s="40" customFormat="1" ht="109.5" customHeight="1">
      <c r="A185" s="451"/>
      <c r="B185" s="519"/>
      <c r="C185" s="520"/>
      <c r="D185" s="520"/>
      <c r="E185" s="520"/>
      <c r="F185" s="520"/>
      <c r="G185" s="521"/>
      <c r="H185" s="488"/>
      <c r="I185" s="447"/>
      <c r="J185" s="448"/>
      <c r="K185" s="448"/>
      <c r="L185" s="448"/>
      <c r="M185" s="448"/>
      <c r="N185" s="448"/>
      <c r="O185" s="448"/>
      <c r="P185" s="448"/>
      <c r="Q185" s="448"/>
      <c r="R185" s="448"/>
      <c r="S185" s="448"/>
      <c r="T185" s="448"/>
      <c r="U185" s="449"/>
      <c r="V185" s="512"/>
    </row>
    <row r="186" spans="1:22" ht="12.75" customHeight="1">
      <c r="A186" s="450" t="s">
        <v>123</v>
      </c>
      <c r="B186" s="470"/>
      <c r="C186" s="471"/>
      <c r="D186" s="471"/>
      <c r="E186" s="471"/>
      <c r="F186" s="471"/>
      <c r="G186" s="472"/>
      <c r="H186" s="628">
        <v>0</v>
      </c>
      <c r="I186" s="435" t="s">
        <v>185</v>
      </c>
      <c r="J186" s="436"/>
      <c r="K186" s="436"/>
      <c r="L186" s="436"/>
      <c r="M186" s="436"/>
      <c r="N186" s="436"/>
      <c r="O186" s="436"/>
      <c r="P186" s="436"/>
      <c r="Q186" s="436"/>
      <c r="R186" s="436"/>
      <c r="S186" s="436"/>
      <c r="T186" s="436"/>
      <c r="U186" s="437"/>
      <c r="V186" s="628">
        <v>620</v>
      </c>
    </row>
    <row r="187" spans="1:22" ht="12" customHeight="1">
      <c r="A187" s="451"/>
      <c r="B187" s="473"/>
      <c r="C187" s="474"/>
      <c r="D187" s="474"/>
      <c r="E187" s="474"/>
      <c r="F187" s="474"/>
      <c r="G187" s="475"/>
      <c r="H187" s="643"/>
      <c r="I187" s="447"/>
      <c r="J187" s="448"/>
      <c r="K187" s="448"/>
      <c r="L187" s="448"/>
      <c r="M187" s="448"/>
      <c r="N187" s="448"/>
      <c r="O187" s="448"/>
      <c r="P187" s="448"/>
      <c r="Q187" s="448"/>
      <c r="R187" s="448"/>
      <c r="S187" s="448"/>
      <c r="T187" s="448"/>
      <c r="U187" s="449"/>
      <c r="V187" s="512"/>
    </row>
    <row r="188" spans="1:22" s="40" customFormat="1" ht="18.75" customHeight="1">
      <c r="A188" s="50" t="s">
        <v>124</v>
      </c>
      <c r="B188" s="616" t="s">
        <v>186</v>
      </c>
      <c r="C188" s="617"/>
      <c r="D188" s="617"/>
      <c r="E188" s="617"/>
      <c r="F188" s="617"/>
      <c r="G188" s="618"/>
      <c r="H188" s="70">
        <v>700</v>
      </c>
      <c r="I188" s="68" t="s">
        <v>187</v>
      </c>
      <c r="J188" s="69"/>
      <c r="K188" s="69"/>
      <c r="L188" s="69"/>
      <c r="M188" s="69"/>
      <c r="N188" s="69"/>
      <c r="O188" s="69"/>
      <c r="P188" s="69"/>
      <c r="Q188" s="69"/>
      <c r="R188" s="69"/>
      <c r="S188" s="69"/>
      <c r="T188" s="69"/>
      <c r="U188" s="69"/>
      <c r="V188" s="59">
        <v>835</v>
      </c>
    </row>
    <row r="189" spans="1:22" s="40" customFormat="1" ht="31.5" customHeight="1">
      <c r="A189" s="31" t="s">
        <v>128</v>
      </c>
      <c r="B189" s="444" t="s">
        <v>236</v>
      </c>
      <c r="C189" s="445"/>
      <c r="D189" s="445"/>
      <c r="E189" s="445"/>
      <c r="F189" s="445"/>
      <c r="G189" s="446"/>
      <c r="H189" s="38">
        <v>200</v>
      </c>
      <c r="I189" s="593" t="s">
        <v>232</v>
      </c>
      <c r="J189" s="639"/>
      <c r="K189" s="639"/>
      <c r="L189" s="639"/>
      <c r="M189" s="639"/>
      <c r="N189" s="639"/>
      <c r="O189" s="639"/>
      <c r="P189" s="639"/>
      <c r="Q189" s="639"/>
      <c r="R189" s="639"/>
      <c r="S189" s="639"/>
      <c r="T189" s="639"/>
      <c r="U189" s="640"/>
      <c r="V189" s="39">
        <v>720</v>
      </c>
    </row>
    <row r="190" spans="1:22" s="40" customFormat="1" ht="12.75" customHeight="1">
      <c r="A190" s="450" t="s">
        <v>125</v>
      </c>
      <c r="B190" s="470"/>
      <c r="C190" s="471"/>
      <c r="D190" s="471"/>
      <c r="E190" s="471"/>
      <c r="F190" s="471"/>
      <c r="G190" s="472"/>
      <c r="H190" s="628">
        <v>0</v>
      </c>
      <c r="I190" s="671" t="s">
        <v>239</v>
      </c>
      <c r="J190" s="672"/>
      <c r="K190" s="672"/>
      <c r="L190" s="672"/>
      <c r="M190" s="672"/>
      <c r="N190" s="672"/>
      <c r="O190" s="672"/>
      <c r="P190" s="672"/>
      <c r="Q190" s="672"/>
      <c r="R190" s="672"/>
      <c r="S190" s="672"/>
      <c r="T190" s="672"/>
      <c r="U190" s="673"/>
      <c r="V190" s="550">
        <v>650</v>
      </c>
    </row>
    <row r="191" spans="1:22" s="40" customFormat="1" ht="12.75" customHeight="1">
      <c r="A191" s="451"/>
      <c r="B191" s="473"/>
      <c r="C191" s="474"/>
      <c r="D191" s="474"/>
      <c r="E191" s="474"/>
      <c r="F191" s="474"/>
      <c r="G191" s="475"/>
      <c r="H191" s="643"/>
      <c r="I191" s="674"/>
      <c r="J191" s="675"/>
      <c r="K191" s="675"/>
      <c r="L191" s="675"/>
      <c r="M191" s="675"/>
      <c r="N191" s="675"/>
      <c r="O191" s="675"/>
      <c r="P191" s="675"/>
      <c r="Q191" s="675"/>
      <c r="R191" s="675"/>
      <c r="S191" s="675"/>
      <c r="T191" s="675"/>
      <c r="U191" s="676"/>
      <c r="V191" s="677"/>
    </row>
    <row r="192" spans="1:22" s="40" customFormat="1" ht="23.25" thickBot="1">
      <c r="A192" s="31" t="s">
        <v>126</v>
      </c>
      <c r="B192" s="36"/>
      <c r="C192" s="37"/>
      <c r="D192" s="37"/>
      <c r="E192" s="37"/>
      <c r="F192" s="37"/>
      <c r="G192" s="37"/>
      <c r="H192" s="38">
        <v>0</v>
      </c>
      <c r="I192" s="36"/>
      <c r="J192" s="37"/>
      <c r="K192" s="37"/>
      <c r="L192" s="37"/>
      <c r="M192" s="37"/>
      <c r="N192" s="37"/>
      <c r="O192" s="37"/>
      <c r="P192" s="37"/>
      <c r="Q192" s="37"/>
      <c r="R192" s="37"/>
      <c r="S192" s="37"/>
      <c r="T192" s="37"/>
      <c r="U192" s="37"/>
      <c r="V192" s="39">
        <v>0</v>
      </c>
    </row>
    <row r="193" spans="1:22" ht="13.5" thickBot="1">
      <c r="A193" s="26" t="s">
        <v>68</v>
      </c>
      <c r="B193" s="27"/>
      <c r="C193" s="28"/>
      <c r="D193" s="28"/>
      <c r="E193" s="28"/>
      <c r="F193" s="28"/>
      <c r="G193" s="28"/>
      <c r="H193" s="29">
        <f>SUM(H194:H217)</f>
        <v>6018</v>
      </c>
      <c r="I193" s="30"/>
      <c r="J193" s="28"/>
      <c r="K193" s="28"/>
      <c r="L193" s="28"/>
      <c r="M193" s="28"/>
      <c r="N193" s="28"/>
      <c r="O193" s="28"/>
      <c r="P193" s="28"/>
      <c r="Q193" s="28"/>
      <c r="R193" s="28"/>
      <c r="S193" s="28"/>
      <c r="T193" s="28"/>
      <c r="U193" s="28"/>
      <c r="V193" s="29">
        <f>SUM(V194:V217)</f>
        <v>11086</v>
      </c>
    </row>
    <row r="194" spans="1:22" s="40" customFormat="1" ht="12.75" customHeight="1">
      <c r="A194" s="478" t="s">
        <v>69</v>
      </c>
      <c r="B194" s="479" t="s">
        <v>152</v>
      </c>
      <c r="C194" s="480"/>
      <c r="D194" s="480"/>
      <c r="E194" s="480"/>
      <c r="F194" s="480"/>
      <c r="G194" s="481"/>
      <c r="H194" s="629">
        <v>100</v>
      </c>
      <c r="I194" s="479" t="s">
        <v>157</v>
      </c>
      <c r="J194" s="480"/>
      <c r="K194" s="480"/>
      <c r="L194" s="480"/>
      <c r="M194" s="480"/>
      <c r="N194" s="480"/>
      <c r="O194" s="480"/>
      <c r="P194" s="480"/>
      <c r="Q194" s="480"/>
      <c r="R194" s="480"/>
      <c r="S194" s="480"/>
      <c r="T194" s="480"/>
      <c r="U194" s="481"/>
      <c r="V194" s="624">
        <v>660</v>
      </c>
    </row>
    <row r="195" spans="1:22" s="40" customFormat="1" ht="19.5" customHeight="1">
      <c r="A195" s="451"/>
      <c r="B195" s="482"/>
      <c r="C195" s="483"/>
      <c r="D195" s="483"/>
      <c r="E195" s="483"/>
      <c r="F195" s="483"/>
      <c r="G195" s="484"/>
      <c r="H195" s="630"/>
      <c r="I195" s="447"/>
      <c r="J195" s="448"/>
      <c r="K195" s="448"/>
      <c r="L195" s="448"/>
      <c r="M195" s="448"/>
      <c r="N195" s="448"/>
      <c r="O195" s="448"/>
      <c r="P195" s="448"/>
      <c r="Q195" s="448"/>
      <c r="R195" s="448"/>
      <c r="S195" s="448"/>
      <c r="T195" s="448"/>
      <c r="U195" s="449"/>
      <c r="V195" s="625"/>
    </row>
    <row r="196" spans="1:22" s="40" customFormat="1" ht="21" customHeight="1">
      <c r="A196" s="141" t="s">
        <v>84</v>
      </c>
      <c r="B196" s="444" t="s">
        <v>199</v>
      </c>
      <c r="C196" s="445"/>
      <c r="D196" s="445"/>
      <c r="E196" s="445"/>
      <c r="F196" s="445"/>
      <c r="G196" s="446"/>
      <c r="H196" s="70">
        <v>550</v>
      </c>
      <c r="I196" s="593" t="s">
        <v>153</v>
      </c>
      <c r="J196" s="626"/>
      <c r="K196" s="626"/>
      <c r="L196" s="626"/>
      <c r="M196" s="626"/>
      <c r="N196" s="626"/>
      <c r="O196" s="626"/>
      <c r="P196" s="626"/>
      <c r="Q196" s="626"/>
      <c r="R196" s="626"/>
      <c r="S196" s="626"/>
      <c r="T196" s="626"/>
      <c r="U196" s="627"/>
      <c r="V196" s="59">
        <f>340+250</f>
        <v>590</v>
      </c>
    </row>
    <row r="197" spans="1:22" s="40" customFormat="1" ht="12.75" customHeight="1">
      <c r="A197" s="450" t="s">
        <v>94</v>
      </c>
      <c r="B197" s="435" t="s">
        <v>154</v>
      </c>
      <c r="C197" s="497"/>
      <c r="D197" s="497"/>
      <c r="E197" s="497"/>
      <c r="F197" s="497"/>
      <c r="G197" s="498"/>
      <c r="H197" s="505">
        <f>220+100+500+100+150</f>
        <v>1070</v>
      </c>
      <c r="I197" s="585" t="s">
        <v>223</v>
      </c>
      <c r="J197" s="631"/>
      <c r="K197" s="631"/>
      <c r="L197" s="631"/>
      <c r="M197" s="631"/>
      <c r="N197" s="631"/>
      <c r="O197" s="631"/>
      <c r="P197" s="631"/>
      <c r="Q197" s="631"/>
      <c r="R197" s="631"/>
      <c r="S197" s="631"/>
      <c r="T197" s="631"/>
      <c r="U197" s="632"/>
      <c r="V197" s="505">
        <f>380+100</f>
        <v>480</v>
      </c>
    </row>
    <row r="198" spans="1:22" s="40" customFormat="1" ht="12.75" customHeight="1">
      <c r="A198" s="508"/>
      <c r="B198" s="499"/>
      <c r="C198" s="500"/>
      <c r="D198" s="500"/>
      <c r="E198" s="500"/>
      <c r="F198" s="500"/>
      <c r="G198" s="501"/>
      <c r="H198" s="506"/>
      <c r="I198" s="633"/>
      <c r="J198" s="634"/>
      <c r="K198" s="634"/>
      <c r="L198" s="634"/>
      <c r="M198" s="634"/>
      <c r="N198" s="634"/>
      <c r="O198" s="634"/>
      <c r="P198" s="634"/>
      <c r="Q198" s="634"/>
      <c r="R198" s="634"/>
      <c r="S198" s="634"/>
      <c r="T198" s="634"/>
      <c r="U198" s="635"/>
      <c r="V198" s="506"/>
    </row>
    <row r="199" spans="1:22" s="40" customFormat="1" ht="32.25" customHeight="1" thickBot="1">
      <c r="A199" s="509"/>
      <c r="B199" s="502"/>
      <c r="C199" s="503"/>
      <c r="D199" s="503"/>
      <c r="E199" s="503"/>
      <c r="F199" s="503"/>
      <c r="G199" s="504"/>
      <c r="H199" s="507"/>
      <c r="I199" s="636"/>
      <c r="J199" s="637"/>
      <c r="K199" s="637"/>
      <c r="L199" s="637"/>
      <c r="M199" s="637"/>
      <c r="N199" s="637"/>
      <c r="O199" s="637"/>
      <c r="P199" s="637"/>
      <c r="Q199" s="637"/>
      <c r="R199" s="637"/>
      <c r="S199" s="637"/>
      <c r="T199" s="637"/>
      <c r="U199" s="638"/>
      <c r="V199" s="507"/>
    </row>
    <row r="200" spans="1:22" s="86" customFormat="1" ht="6.75" customHeight="1">
      <c r="A200" s="81"/>
      <c r="B200" s="82"/>
      <c r="C200" s="79"/>
      <c r="D200" s="79"/>
      <c r="E200" s="79"/>
      <c r="F200" s="79"/>
      <c r="G200" s="79"/>
      <c r="H200" s="83"/>
      <c r="I200" s="84"/>
      <c r="J200" s="79"/>
      <c r="K200" s="79"/>
      <c r="L200" s="79"/>
      <c r="M200" s="79"/>
      <c r="N200" s="79"/>
      <c r="O200" s="79"/>
      <c r="P200" s="79"/>
      <c r="Q200" s="79"/>
      <c r="R200" s="79"/>
      <c r="S200" s="79"/>
      <c r="T200" s="79"/>
      <c r="U200" s="79"/>
      <c r="V200" s="85"/>
    </row>
    <row r="201" spans="1:22" ht="23.25" customHeight="1" thickBot="1">
      <c r="A201" s="461" t="s">
        <v>145</v>
      </c>
      <c r="B201" s="461"/>
      <c r="C201" s="461"/>
      <c r="D201" s="461"/>
      <c r="E201" s="461"/>
      <c r="F201" s="461"/>
      <c r="G201" s="461"/>
      <c r="H201" s="461"/>
      <c r="I201" s="461"/>
      <c r="J201" s="461"/>
      <c r="K201" s="461"/>
      <c r="L201" s="461"/>
      <c r="M201" s="461"/>
      <c r="N201" s="461"/>
      <c r="O201" s="461"/>
      <c r="P201" s="461"/>
      <c r="Q201" s="461"/>
      <c r="R201" s="461"/>
      <c r="S201" s="461"/>
      <c r="T201" s="461"/>
      <c r="U201" s="461"/>
      <c r="V201" s="461"/>
    </row>
    <row r="202" spans="1:34" ht="22.5">
      <c r="A202" s="18" t="s">
        <v>0</v>
      </c>
      <c r="B202" s="139" t="s">
        <v>86</v>
      </c>
      <c r="C202" s="139"/>
      <c r="D202" s="139"/>
      <c r="E202" s="139"/>
      <c r="F202" s="139"/>
      <c r="G202" s="140"/>
      <c r="H202" s="19" t="s">
        <v>29</v>
      </c>
      <c r="I202" s="462" t="s">
        <v>85</v>
      </c>
      <c r="J202" s="463"/>
      <c r="K202" s="463"/>
      <c r="L202" s="463"/>
      <c r="M202" s="463"/>
      <c r="N202" s="463"/>
      <c r="O202" s="463"/>
      <c r="P202" s="463"/>
      <c r="Q202" s="463"/>
      <c r="R202" s="463"/>
      <c r="S202" s="463"/>
      <c r="T202" s="463"/>
      <c r="U202" s="464"/>
      <c r="V202" s="20" t="s">
        <v>29</v>
      </c>
      <c r="W202" s="16"/>
      <c r="X202" s="17"/>
      <c r="Y202" s="489"/>
      <c r="Z202" s="490"/>
      <c r="AC202" s="17"/>
      <c r="AH202" s="17"/>
    </row>
    <row r="203" spans="1:34" ht="13.5" thickBot="1">
      <c r="A203" s="21"/>
      <c r="B203" s="22" t="s">
        <v>61</v>
      </c>
      <c r="C203" s="22"/>
      <c r="D203" s="22"/>
      <c r="E203" s="22"/>
      <c r="F203" s="22"/>
      <c r="G203" s="23"/>
      <c r="H203" s="24" t="s">
        <v>62</v>
      </c>
      <c r="I203" s="465"/>
      <c r="J203" s="466"/>
      <c r="K203" s="466"/>
      <c r="L203" s="466"/>
      <c r="M203" s="466"/>
      <c r="N203" s="466"/>
      <c r="O203" s="466"/>
      <c r="P203" s="466"/>
      <c r="Q203" s="466"/>
      <c r="R203" s="466"/>
      <c r="S203" s="466"/>
      <c r="T203" s="466"/>
      <c r="U203" s="467"/>
      <c r="V203" s="25" t="s">
        <v>63</v>
      </c>
      <c r="W203" s="16"/>
      <c r="X203" s="17"/>
      <c r="Y203" s="489"/>
      <c r="Z203" s="490"/>
      <c r="AC203" s="17"/>
      <c r="AH203" s="17"/>
    </row>
    <row r="204" spans="1:22" ht="24.75" customHeight="1">
      <c r="A204" s="87" t="s">
        <v>34</v>
      </c>
      <c r="B204" s="441" t="s">
        <v>155</v>
      </c>
      <c r="C204" s="442"/>
      <c r="D204" s="442"/>
      <c r="E204" s="442"/>
      <c r="F204" s="442"/>
      <c r="G204" s="443"/>
      <c r="H204" s="54">
        <f>100+110</f>
        <v>210</v>
      </c>
      <c r="I204" s="613" t="s">
        <v>156</v>
      </c>
      <c r="J204" s="614"/>
      <c r="K204" s="614"/>
      <c r="L204" s="614"/>
      <c r="M204" s="614"/>
      <c r="N204" s="614"/>
      <c r="O204" s="614"/>
      <c r="P204" s="614"/>
      <c r="Q204" s="614"/>
      <c r="R204" s="614"/>
      <c r="S204" s="614"/>
      <c r="T204" s="614"/>
      <c r="U204" s="615"/>
      <c r="V204" s="88">
        <v>300</v>
      </c>
    </row>
    <row r="205" spans="1:22" s="40" customFormat="1" ht="12.75" customHeight="1">
      <c r="A205" s="141" t="s">
        <v>88</v>
      </c>
      <c r="B205" s="616"/>
      <c r="C205" s="617"/>
      <c r="D205" s="617"/>
      <c r="E205" s="617"/>
      <c r="F205" s="617"/>
      <c r="G205" s="618"/>
      <c r="H205" s="70">
        <v>0</v>
      </c>
      <c r="I205" s="621" t="s">
        <v>167</v>
      </c>
      <c r="J205" s="622"/>
      <c r="K205" s="622"/>
      <c r="L205" s="622"/>
      <c r="M205" s="622"/>
      <c r="N205" s="622"/>
      <c r="O205" s="622"/>
      <c r="P205" s="622"/>
      <c r="Q205" s="622"/>
      <c r="R205" s="622"/>
      <c r="S205" s="622"/>
      <c r="T205" s="622"/>
      <c r="U205" s="623"/>
      <c r="V205" s="147">
        <f>100+400</f>
        <v>500</v>
      </c>
    </row>
    <row r="206" spans="1:22" s="40" customFormat="1" ht="37.5" customHeight="1">
      <c r="A206" s="141" t="s">
        <v>89</v>
      </c>
      <c r="B206" s="444"/>
      <c r="C206" s="476"/>
      <c r="D206" s="476"/>
      <c r="E206" s="476"/>
      <c r="F206" s="476"/>
      <c r="G206" s="477"/>
      <c r="H206" s="38">
        <v>0</v>
      </c>
      <c r="I206" s="36"/>
      <c r="J206" s="37"/>
      <c r="K206" s="37"/>
      <c r="L206" s="37"/>
      <c r="M206" s="37"/>
      <c r="N206" s="37"/>
      <c r="O206" s="37"/>
      <c r="P206" s="37"/>
      <c r="Q206" s="37"/>
      <c r="R206" s="37"/>
      <c r="S206" s="37"/>
      <c r="T206" s="37"/>
      <c r="U206" s="37"/>
      <c r="V206" s="39">
        <v>0</v>
      </c>
    </row>
    <row r="207" spans="1:22" s="92" customFormat="1" ht="24.75" customHeight="1">
      <c r="A207" s="89" t="s">
        <v>35</v>
      </c>
      <c r="B207" s="547" t="s">
        <v>158</v>
      </c>
      <c r="C207" s="619"/>
      <c r="D207" s="619"/>
      <c r="E207" s="619"/>
      <c r="F207" s="619"/>
      <c r="G207" s="620"/>
      <c r="H207" s="90">
        <v>846</v>
      </c>
      <c r="I207" s="547"/>
      <c r="J207" s="548"/>
      <c r="K207" s="548"/>
      <c r="L207" s="548"/>
      <c r="M207" s="548"/>
      <c r="N207" s="548"/>
      <c r="O207" s="548"/>
      <c r="P207" s="548"/>
      <c r="Q207" s="548"/>
      <c r="R207" s="548"/>
      <c r="S207" s="548"/>
      <c r="T207" s="548"/>
      <c r="U207" s="549"/>
      <c r="V207" s="91">
        <v>0</v>
      </c>
    </row>
    <row r="208" spans="1:22" s="40" customFormat="1" ht="12.75" customHeight="1">
      <c r="A208" s="31" t="s">
        <v>36</v>
      </c>
      <c r="B208" s="36"/>
      <c r="C208" s="37"/>
      <c r="D208" s="37"/>
      <c r="E208" s="37"/>
      <c r="F208" s="37"/>
      <c r="G208" s="37"/>
      <c r="H208" s="38">
        <v>0</v>
      </c>
      <c r="I208" s="36" t="s">
        <v>159</v>
      </c>
      <c r="J208" s="37"/>
      <c r="K208" s="37"/>
      <c r="L208" s="37"/>
      <c r="M208" s="37"/>
      <c r="N208" s="37"/>
      <c r="O208" s="37"/>
      <c r="P208" s="37"/>
      <c r="Q208" s="37"/>
      <c r="R208" s="37"/>
      <c r="S208" s="37"/>
      <c r="T208" s="37"/>
      <c r="U208" s="37"/>
      <c r="V208" s="39">
        <f>480+320</f>
        <v>800</v>
      </c>
    </row>
    <row r="209" spans="1:22" s="40" customFormat="1" ht="65.25" customHeight="1">
      <c r="A209" s="31" t="s">
        <v>37</v>
      </c>
      <c r="B209" s="444" t="s">
        <v>160</v>
      </c>
      <c r="C209" s="476"/>
      <c r="D209" s="476"/>
      <c r="E209" s="476"/>
      <c r="F209" s="476"/>
      <c r="G209" s="477"/>
      <c r="H209" s="38">
        <f>100+150+150+100+600+600</f>
        <v>1700</v>
      </c>
      <c r="I209" s="444" t="s">
        <v>230</v>
      </c>
      <c r="J209" s="639"/>
      <c r="K209" s="639"/>
      <c r="L209" s="639"/>
      <c r="M209" s="639"/>
      <c r="N209" s="639"/>
      <c r="O209" s="639"/>
      <c r="P209" s="639"/>
      <c r="Q209" s="639"/>
      <c r="R209" s="639"/>
      <c r="S209" s="639"/>
      <c r="T209" s="639"/>
      <c r="U209" s="640"/>
      <c r="V209" s="39">
        <f>350+250</f>
        <v>600</v>
      </c>
    </row>
    <row r="210" spans="1:22" s="40" customFormat="1" ht="24" customHeight="1">
      <c r="A210" s="31" t="s">
        <v>90</v>
      </c>
      <c r="B210" s="444" t="s">
        <v>161</v>
      </c>
      <c r="C210" s="445"/>
      <c r="D210" s="445"/>
      <c r="E210" s="445"/>
      <c r="F210" s="445"/>
      <c r="G210" s="446"/>
      <c r="H210" s="38">
        <f>250+350</f>
        <v>600</v>
      </c>
      <c r="I210" s="32"/>
      <c r="J210" s="37"/>
      <c r="K210" s="37"/>
      <c r="L210" s="37"/>
      <c r="M210" s="37"/>
      <c r="N210" s="37"/>
      <c r="O210" s="37"/>
      <c r="P210" s="37"/>
      <c r="Q210" s="37"/>
      <c r="R210" s="37"/>
      <c r="S210" s="37"/>
      <c r="T210" s="37"/>
      <c r="U210" s="37"/>
      <c r="V210" s="39">
        <v>0</v>
      </c>
    </row>
    <row r="211" spans="1:22" s="40" customFormat="1" ht="22.5" customHeight="1">
      <c r="A211" s="148" t="s">
        <v>38</v>
      </c>
      <c r="B211" s="547" t="s">
        <v>247</v>
      </c>
      <c r="C211" s="548"/>
      <c r="D211" s="548"/>
      <c r="E211" s="548"/>
      <c r="F211" s="548"/>
      <c r="G211" s="549"/>
      <c r="H211" s="90">
        <v>202</v>
      </c>
      <c r="I211" s="36"/>
      <c r="J211" s="37"/>
      <c r="K211" s="37"/>
      <c r="L211" s="37"/>
      <c r="M211" s="37"/>
      <c r="N211" s="37"/>
      <c r="O211" s="37"/>
      <c r="P211" s="37"/>
      <c r="Q211" s="37"/>
      <c r="R211" s="37"/>
      <c r="S211" s="37"/>
      <c r="T211" s="37"/>
      <c r="U211" s="37"/>
      <c r="V211" s="39">
        <v>0</v>
      </c>
    </row>
    <row r="212" spans="1:22" s="40" customFormat="1" ht="33.75" customHeight="1">
      <c r="A212" s="55" t="s">
        <v>70</v>
      </c>
      <c r="B212" s="36"/>
      <c r="C212" s="37"/>
      <c r="D212" s="37"/>
      <c r="E212" s="37"/>
      <c r="F212" s="37"/>
      <c r="G212" s="37"/>
      <c r="H212" s="38">
        <v>0</v>
      </c>
      <c r="I212" s="593" t="s">
        <v>225</v>
      </c>
      <c r="J212" s="594"/>
      <c r="K212" s="594"/>
      <c r="L212" s="594"/>
      <c r="M212" s="594"/>
      <c r="N212" s="594"/>
      <c r="O212" s="594"/>
      <c r="P212" s="594"/>
      <c r="Q212" s="594"/>
      <c r="R212" s="594"/>
      <c r="S212" s="594"/>
      <c r="T212" s="594"/>
      <c r="U212" s="595"/>
      <c r="V212" s="39">
        <f>400+3461+50+100</f>
        <v>4011</v>
      </c>
    </row>
    <row r="213" spans="1:22" s="40" customFormat="1" ht="12.75" customHeight="1">
      <c r="A213" s="55" t="s">
        <v>39</v>
      </c>
      <c r="B213" s="36"/>
      <c r="C213" s="37"/>
      <c r="D213" s="37"/>
      <c r="E213" s="37"/>
      <c r="F213" s="37"/>
      <c r="G213" s="37"/>
      <c r="H213" s="38">
        <v>0</v>
      </c>
      <c r="I213" s="610" t="s">
        <v>163</v>
      </c>
      <c r="J213" s="611"/>
      <c r="K213" s="611"/>
      <c r="L213" s="611"/>
      <c r="M213" s="611"/>
      <c r="N213" s="611"/>
      <c r="O213" s="611"/>
      <c r="P213" s="611"/>
      <c r="Q213" s="611"/>
      <c r="R213" s="611"/>
      <c r="S213" s="611"/>
      <c r="T213" s="611"/>
      <c r="U213" s="612"/>
      <c r="V213" s="39">
        <f>235+75</f>
        <v>310</v>
      </c>
    </row>
    <row r="214" spans="1:22" s="40" customFormat="1" ht="12.75" customHeight="1">
      <c r="A214" s="450" t="s">
        <v>40</v>
      </c>
      <c r="B214" s="435"/>
      <c r="C214" s="497"/>
      <c r="D214" s="497"/>
      <c r="E214" s="497"/>
      <c r="F214" s="497"/>
      <c r="G214" s="498"/>
      <c r="H214" s="487">
        <v>0</v>
      </c>
      <c r="I214" s="599" t="s">
        <v>226</v>
      </c>
      <c r="J214" s="600"/>
      <c r="K214" s="600"/>
      <c r="L214" s="600"/>
      <c r="M214" s="600"/>
      <c r="N214" s="600"/>
      <c r="O214" s="600"/>
      <c r="P214" s="600"/>
      <c r="Q214" s="600"/>
      <c r="R214" s="600"/>
      <c r="S214" s="600"/>
      <c r="T214" s="600"/>
      <c r="U214" s="601"/>
      <c r="V214" s="487">
        <f>100+200+80+380</f>
        <v>760</v>
      </c>
    </row>
    <row r="215" spans="1:22" s="40" customFormat="1" ht="12.75" customHeight="1">
      <c r="A215" s="451"/>
      <c r="B215" s="519"/>
      <c r="C215" s="520"/>
      <c r="D215" s="520"/>
      <c r="E215" s="520"/>
      <c r="F215" s="520"/>
      <c r="G215" s="521"/>
      <c r="H215" s="488"/>
      <c r="I215" s="602"/>
      <c r="J215" s="603"/>
      <c r="K215" s="603"/>
      <c r="L215" s="603"/>
      <c r="M215" s="603"/>
      <c r="N215" s="603"/>
      <c r="O215" s="603"/>
      <c r="P215" s="603"/>
      <c r="Q215" s="603"/>
      <c r="R215" s="603"/>
      <c r="S215" s="603"/>
      <c r="T215" s="603"/>
      <c r="U215" s="604"/>
      <c r="V215" s="488"/>
    </row>
    <row r="216" spans="1:22" s="40" customFormat="1" ht="36.75" customHeight="1">
      <c r="A216" s="142" t="s">
        <v>92</v>
      </c>
      <c r="B216" s="444" t="s">
        <v>164</v>
      </c>
      <c r="C216" s="476"/>
      <c r="D216" s="476"/>
      <c r="E216" s="476"/>
      <c r="F216" s="476"/>
      <c r="G216" s="477"/>
      <c r="H216" s="38">
        <f>200+100+200+240</f>
        <v>740</v>
      </c>
      <c r="I216" s="444" t="s">
        <v>165</v>
      </c>
      <c r="J216" s="476"/>
      <c r="K216" s="476"/>
      <c r="L216" s="476"/>
      <c r="M216" s="476"/>
      <c r="N216" s="476"/>
      <c r="O216" s="476"/>
      <c r="P216" s="476"/>
      <c r="Q216" s="476"/>
      <c r="R216" s="476"/>
      <c r="S216" s="476"/>
      <c r="T216" s="476"/>
      <c r="U216" s="477"/>
      <c r="V216" s="39">
        <f>900+150+250+315</f>
        <v>1615</v>
      </c>
    </row>
    <row r="217" spans="1:22" s="40" customFormat="1" ht="21" customHeight="1" thickBot="1">
      <c r="A217" s="187" t="s">
        <v>93</v>
      </c>
      <c r="B217" s="605"/>
      <c r="C217" s="606"/>
      <c r="D217" s="606"/>
      <c r="E217" s="606"/>
      <c r="F217" s="606"/>
      <c r="G217" s="607"/>
      <c r="H217" s="38">
        <v>0</v>
      </c>
      <c r="I217" s="438" t="s">
        <v>166</v>
      </c>
      <c r="J217" s="608"/>
      <c r="K217" s="608"/>
      <c r="L217" s="608"/>
      <c r="M217" s="608"/>
      <c r="N217" s="608"/>
      <c r="O217" s="608"/>
      <c r="P217" s="608"/>
      <c r="Q217" s="608"/>
      <c r="R217" s="608"/>
      <c r="S217" s="608"/>
      <c r="T217" s="608"/>
      <c r="U217" s="609"/>
      <c r="V217" s="39">
        <f>130+135+135+60</f>
        <v>460</v>
      </c>
    </row>
    <row r="218" spans="1:22" s="40" customFormat="1" ht="12.75" customHeight="1" thickBot="1">
      <c r="A218" s="26" t="s">
        <v>41</v>
      </c>
      <c r="B218" s="93"/>
      <c r="C218" s="94"/>
      <c r="D218" s="94"/>
      <c r="E218" s="94"/>
      <c r="F218" s="94"/>
      <c r="G218" s="94"/>
      <c r="H218" s="29">
        <f>SUM(H219)</f>
        <v>0</v>
      </c>
      <c r="I218" s="93"/>
      <c r="J218" s="94"/>
      <c r="K218" s="94"/>
      <c r="L218" s="94"/>
      <c r="M218" s="94"/>
      <c r="N218" s="94"/>
      <c r="O218" s="94"/>
      <c r="P218" s="94"/>
      <c r="Q218" s="94"/>
      <c r="R218" s="94"/>
      <c r="S218" s="94"/>
      <c r="T218" s="94"/>
      <c r="U218" s="95"/>
      <c r="V218" s="29">
        <f>SUM(V219)</f>
        <v>210</v>
      </c>
    </row>
    <row r="219" spans="1:22" s="40" customFormat="1" ht="23.25" customHeight="1" thickBot="1">
      <c r="A219" s="96" t="s">
        <v>131</v>
      </c>
      <c r="B219" s="97"/>
      <c r="C219" s="98"/>
      <c r="D219" s="98"/>
      <c r="E219" s="98"/>
      <c r="F219" s="98"/>
      <c r="G219" s="98"/>
      <c r="H219" s="99">
        <v>0</v>
      </c>
      <c r="I219" s="100" t="s">
        <v>170</v>
      </c>
      <c r="J219" s="98"/>
      <c r="K219" s="98"/>
      <c r="L219" s="98"/>
      <c r="M219" s="98"/>
      <c r="N219" s="98"/>
      <c r="O219" s="98"/>
      <c r="P219" s="98"/>
      <c r="Q219" s="98"/>
      <c r="R219" s="98"/>
      <c r="S219" s="98"/>
      <c r="T219" s="98"/>
      <c r="U219" s="98"/>
      <c r="V219" s="99">
        <v>210</v>
      </c>
    </row>
    <row r="220" spans="1:22" ht="12.75" customHeight="1" thickBot="1">
      <c r="A220" s="101" t="s">
        <v>19</v>
      </c>
      <c r="B220" s="97"/>
      <c r="C220" s="98"/>
      <c r="D220" s="98"/>
      <c r="E220" s="98"/>
      <c r="F220" s="98"/>
      <c r="G220" s="98"/>
      <c r="H220" s="102">
        <f>SUM(H221+H223)</f>
        <v>2500</v>
      </c>
      <c r="I220" s="97"/>
      <c r="J220" s="98"/>
      <c r="K220" s="98"/>
      <c r="L220" s="98"/>
      <c r="M220" s="98"/>
      <c r="N220" s="98"/>
      <c r="O220" s="98"/>
      <c r="P220" s="98"/>
      <c r="Q220" s="98"/>
      <c r="R220" s="98"/>
      <c r="S220" s="98"/>
      <c r="T220" s="98"/>
      <c r="U220" s="98"/>
      <c r="V220" s="102">
        <f>SUM(V221)</f>
        <v>9180</v>
      </c>
    </row>
    <row r="221" spans="1:22" ht="12.75" customHeight="1">
      <c r="A221" s="554" t="s">
        <v>71</v>
      </c>
      <c r="B221" s="567" t="s">
        <v>233</v>
      </c>
      <c r="C221" s="568"/>
      <c r="D221" s="568"/>
      <c r="E221" s="568"/>
      <c r="F221" s="568"/>
      <c r="G221" s="569"/>
      <c r="H221" s="596">
        <v>2500</v>
      </c>
      <c r="I221" s="557" t="s">
        <v>234</v>
      </c>
      <c r="J221" s="558"/>
      <c r="K221" s="558"/>
      <c r="L221" s="558"/>
      <c r="M221" s="558"/>
      <c r="N221" s="558"/>
      <c r="O221" s="558"/>
      <c r="P221" s="558"/>
      <c r="Q221" s="558"/>
      <c r="R221" s="558"/>
      <c r="S221" s="558"/>
      <c r="T221" s="558"/>
      <c r="U221" s="559"/>
      <c r="V221" s="552">
        <v>9180</v>
      </c>
    </row>
    <row r="222" spans="1:22" ht="12.75" customHeight="1" hidden="1">
      <c r="A222" s="555"/>
      <c r="B222" s="570"/>
      <c r="C222" s="571"/>
      <c r="D222" s="571"/>
      <c r="E222" s="571"/>
      <c r="F222" s="571"/>
      <c r="G222" s="572"/>
      <c r="H222" s="597"/>
      <c r="I222" s="560"/>
      <c r="J222" s="561"/>
      <c r="K222" s="561"/>
      <c r="L222" s="561"/>
      <c r="M222" s="561"/>
      <c r="N222" s="561"/>
      <c r="O222" s="561"/>
      <c r="P222" s="561"/>
      <c r="Q222" s="561"/>
      <c r="R222" s="561"/>
      <c r="S222" s="561"/>
      <c r="T222" s="561"/>
      <c r="U222" s="562"/>
      <c r="V222" s="566"/>
    </row>
    <row r="223" spans="1:22" ht="65.25" customHeight="1" thickBot="1">
      <c r="A223" s="556"/>
      <c r="B223" s="573"/>
      <c r="C223" s="574"/>
      <c r="D223" s="574"/>
      <c r="E223" s="574"/>
      <c r="F223" s="574"/>
      <c r="G223" s="575"/>
      <c r="H223" s="598"/>
      <c r="I223" s="563"/>
      <c r="J223" s="564"/>
      <c r="K223" s="564"/>
      <c r="L223" s="564"/>
      <c r="M223" s="564"/>
      <c r="N223" s="564"/>
      <c r="O223" s="564"/>
      <c r="P223" s="564"/>
      <c r="Q223" s="564"/>
      <c r="R223" s="564"/>
      <c r="S223" s="564"/>
      <c r="T223" s="564"/>
      <c r="U223" s="565"/>
      <c r="V223" s="488"/>
    </row>
    <row r="224" spans="1:22" ht="12.75" customHeight="1" thickBot="1">
      <c r="A224" s="26" t="s">
        <v>72</v>
      </c>
      <c r="B224" s="27"/>
      <c r="C224" s="28"/>
      <c r="D224" s="28"/>
      <c r="E224" s="28"/>
      <c r="F224" s="28"/>
      <c r="G224" s="28"/>
      <c r="H224" s="29">
        <f>SUM(H225+H226+H227+H228+H229)</f>
        <v>0</v>
      </c>
      <c r="I224" s="28"/>
      <c r="J224" s="28"/>
      <c r="K224" s="28"/>
      <c r="L224" s="28"/>
      <c r="M224" s="28"/>
      <c r="N224" s="28"/>
      <c r="O224" s="28"/>
      <c r="P224" s="28"/>
      <c r="Q224" s="28"/>
      <c r="R224" s="28"/>
      <c r="S224" s="28"/>
      <c r="T224" s="28"/>
      <c r="U224" s="28"/>
      <c r="V224" s="29">
        <f>SUM(V225+V226+V227+V228+V229)</f>
        <v>0</v>
      </c>
    </row>
    <row r="225" spans="1:22" ht="12.75" customHeight="1">
      <c r="A225" s="105" t="s">
        <v>133</v>
      </c>
      <c r="B225" s="106"/>
      <c r="C225" s="106"/>
      <c r="D225" s="106"/>
      <c r="E225" s="106"/>
      <c r="F225" s="106"/>
      <c r="G225" s="106"/>
      <c r="H225" s="107">
        <v>0</v>
      </c>
      <c r="I225" s="106"/>
      <c r="J225" s="106"/>
      <c r="K225" s="106"/>
      <c r="L225" s="106"/>
      <c r="M225" s="106"/>
      <c r="N225" s="106"/>
      <c r="O225" s="106"/>
      <c r="P225" s="106"/>
      <c r="Q225" s="106"/>
      <c r="R225" s="106"/>
      <c r="S225" s="106"/>
      <c r="T225" s="106"/>
      <c r="U225" s="106"/>
      <c r="V225" s="88">
        <v>0</v>
      </c>
    </row>
    <row r="226" spans="1:22" ht="12.75">
      <c r="A226" s="108" t="s">
        <v>21</v>
      </c>
      <c r="B226" s="109"/>
      <c r="C226" s="110"/>
      <c r="D226" s="110"/>
      <c r="E226" s="110"/>
      <c r="F226" s="110"/>
      <c r="G226" s="110"/>
      <c r="H226" s="35">
        <v>0</v>
      </c>
      <c r="I226" s="111"/>
      <c r="J226" s="112"/>
      <c r="K226" s="112"/>
      <c r="L226" s="112"/>
      <c r="M226" s="112"/>
      <c r="N226" s="112"/>
      <c r="O226" s="112"/>
      <c r="P226" s="112"/>
      <c r="Q226" s="112"/>
      <c r="R226" s="112"/>
      <c r="S226" s="112"/>
      <c r="T226" s="112"/>
      <c r="U226" s="112"/>
      <c r="V226" s="113">
        <v>0</v>
      </c>
    </row>
    <row r="227" spans="1:22" s="86" customFormat="1" ht="12.75" customHeight="1">
      <c r="A227" s="114" t="s">
        <v>22</v>
      </c>
      <c r="B227" s="115"/>
      <c r="C227" s="116"/>
      <c r="D227" s="116"/>
      <c r="E227" s="116"/>
      <c r="F227" s="116"/>
      <c r="G227" s="116"/>
      <c r="H227" s="70">
        <v>0</v>
      </c>
      <c r="I227" s="117"/>
      <c r="J227" s="118"/>
      <c r="K227" s="118"/>
      <c r="L227" s="118"/>
      <c r="M227" s="118"/>
      <c r="N227" s="118"/>
      <c r="O227" s="118"/>
      <c r="P227" s="118"/>
      <c r="Q227" s="118"/>
      <c r="R227" s="118"/>
      <c r="S227" s="118"/>
      <c r="T227" s="118"/>
      <c r="U227" s="118"/>
      <c r="V227" s="59">
        <v>0</v>
      </c>
    </row>
    <row r="228" spans="1:22" ht="12.75">
      <c r="A228" s="119" t="s">
        <v>23</v>
      </c>
      <c r="B228" s="120"/>
      <c r="C228" s="77"/>
      <c r="D228" s="77"/>
      <c r="E228" s="77"/>
      <c r="F228" s="77"/>
      <c r="G228" s="77"/>
      <c r="H228" s="78">
        <v>0</v>
      </c>
      <c r="I228" s="68"/>
      <c r="J228" s="77"/>
      <c r="K228" s="77"/>
      <c r="L228" s="77"/>
      <c r="M228" s="77"/>
      <c r="N228" s="77"/>
      <c r="O228" s="77"/>
      <c r="P228" s="77"/>
      <c r="Q228" s="77"/>
      <c r="R228" s="77"/>
      <c r="S228" s="77"/>
      <c r="T228" s="77"/>
      <c r="U228" s="77"/>
      <c r="V228" s="72">
        <v>0</v>
      </c>
    </row>
    <row r="229" spans="1:22" ht="13.5" thickBot="1">
      <c r="A229" s="121" t="s">
        <v>33</v>
      </c>
      <c r="B229" s="103"/>
      <c r="C229" s="104"/>
      <c r="D229" s="104"/>
      <c r="E229" s="104"/>
      <c r="F229" s="104"/>
      <c r="G229" s="104"/>
      <c r="H229" s="122">
        <v>0</v>
      </c>
      <c r="I229" s="123"/>
      <c r="J229" s="104"/>
      <c r="K229" s="104"/>
      <c r="L229" s="104"/>
      <c r="M229" s="104"/>
      <c r="N229" s="104"/>
      <c r="O229" s="104"/>
      <c r="P229" s="104"/>
      <c r="Q229" s="104"/>
      <c r="R229" s="104"/>
      <c r="S229" s="104"/>
      <c r="T229" s="104"/>
      <c r="U229" s="104"/>
      <c r="V229" s="80">
        <v>0</v>
      </c>
    </row>
    <row r="230" spans="1:22" ht="13.5" thickBot="1">
      <c r="A230" s="26" t="s">
        <v>24</v>
      </c>
      <c r="B230" s="27"/>
      <c r="C230" s="28"/>
      <c r="D230" s="28"/>
      <c r="E230" s="28"/>
      <c r="F230" s="28"/>
      <c r="G230" s="28"/>
      <c r="H230" s="29">
        <f>SUM(H231:H231)</f>
        <v>227</v>
      </c>
      <c r="I230" s="27"/>
      <c r="J230" s="28"/>
      <c r="K230" s="28"/>
      <c r="L230" s="28"/>
      <c r="M230" s="28"/>
      <c r="N230" s="28"/>
      <c r="O230" s="28"/>
      <c r="P230" s="28"/>
      <c r="Q230" s="28"/>
      <c r="R230" s="28"/>
      <c r="S230" s="28"/>
      <c r="T230" s="28"/>
      <c r="U230" s="28"/>
      <c r="V230" s="29">
        <f>SUM(V231:V231)</f>
        <v>0</v>
      </c>
    </row>
    <row r="231" spans="1:22" ht="12.75">
      <c r="A231" s="554" t="s">
        <v>129</v>
      </c>
      <c r="B231" s="579" t="s">
        <v>191</v>
      </c>
      <c r="C231" s="580"/>
      <c r="D231" s="580"/>
      <c r="E231" s="580"/>
      <c r="F231" s="580"/>
      <c r="G231" s="581"/>
      <c r="H231" s="552">
        <v>227</v>
      </c>
      <c r="I231" s="579"/>
      <c r="J231" s="480"/>
      <c r="K231" s="480"/>
      <c r="L231" s="480"/>
      <c r="M231" s="480"/>
      <c r="N231" s="480"/>
      <c r="O231" s="480"/>
      <c r="P231" s="480"/>
      <c r="Q231" s="480"/>
      <c r="R231" s="480"/>
      <c r="S231" s="480"/>
      <c r="T231" s="480"/>
      <c r="U231" s="481"/>
      <c r="V231" s="624">
        <v>0</v>
      </c>
    </row>
    <row r="232" spans="1:22" ht="34.5" customHeight="1" thickBot="1">
      <c r="A232" s="556"/>
      <c r="B232" s="582"/>
      <c r="C232" s="583"/>
      <c r="D232" s="583"/>
      <c r="E232" s="583"/>
      <c r="F232" s="583"/>
      <c r="G232" s="584"/>
      <c r="H232" s="553"/>
      <c r="I232" s="586"/>
      <c r="J232" s="587"/>
      <c r="K232" s="587"/>
      <c r="L232" s="587"/>
      <c r="M232" s="587"/>
      <c r="N232" s="587"/>
      <c r="O232" s="587"/>
      <c r="P232" s="587"/>
      <c r="Q232" s="587"/>
      <c r="R232" s="587"/>
      <c r="S232" s="587"/>
      <c r="T232" s="587"/>
      <c r="U232" s="588"/>
      <c r="V232" s="551"/>
    </row>
    <row r="233" spans="1:22" ht="13.5" thickBot="1">
      <c r="A233" s="26" t="s">
        <v>73</v>
      </c>
      <c r="B233" s="27"/>
      <c r="C233" s="28"/>
      <c r="D233" s="28"/>
      <c r="E233" s="28"/>
      <c r="F233" s="28"/>
      <c r="G233" s="28"/>
      <c r="H233" s="29">
        <f>SUM(H234:H236)</f>
        <v>0</v>
      </c>
      <c r="I233" s="27"/>
      <c r="J233" s="28"/>
      <c r="K233" s="28"/>
      <c r="L233" s="28"/>
      <c r="M233" s="28"/>
      <c r="N233" s="28"/>
      <c r="O233" s="28"/>
      <c r="P233" s="28"/>
      <c r="Q233" s="28"/>
      <c r="R233" s="28"/>
      <c r="S233" s="28"/>
      <c r="T233" s="28"/>
      <c r="U233" s="28"/>
      <c r="V233" s="29">
        <f>SUM(V234:V236)</f>
        <v>0</v>
      </c>
    </row>
    <row r="234" spans="1:22" ht="12.75">
      <c r="A234" s="126" t="s">
        <v>7</v>
      </c>
      <c r="B234" s="120"/>
      <c r="C234" s="77"/>
      <c r="D234" s="77"/>
      <c r="E234" s="77"/>
      <c r="F234" s="77"/>
      <c r="G234" s="77"/>
      <c r="H234" s="78">
        <v>0</v>
      </c>
      <c r="I234" s="120"/>
      <c r="J234" s="77"/>
      <c r="K234" s="77"/>
      <c r="L234" s="77"/>
      <c r="M234" s="77"/>
      <c r="N234" s="77"/>
      <c r="O234" s="77"/>
      <c r="P234" s="77"/>
      <c r="Q234" s="77"/>
      <c r="R234" s="77"/>
      <c r="S234" s="77"/>
      <c r="T234" s="77"/>
      <c r="U234" s="77"/>
      <c r="V234" s="72">
        <v>0</v>
      </c>
    </row>
    <row r="235" spans="1:22" s="40" customFormat="1" ht="12.75" customHeight="1">
      <c r="A235" s="591" t="s">
        <v>55</v>
      </c>
      <c r="B235" s="585"/>
      <c r="C235" s="436"/>
      <c r="D235" s="436"/>
      <c r="E235" s="436"/>
      <c r="F235" s="436"/>
      <c r="G235" s="437"/>
      <c r="H235" s="589">
        <v>0</v>
      </c>
      <c r="I235" s="585"/>
      <c r="J235" s="436"/>
      <c r="K235" s="436"/>
      <c r="L235" s="436"/>
      <c r="M235" s="436"/>
      <c r="N235" s="436"/>
      <c r="O235" s="436"/>
      <c r="P235" s="436"/>
      <c r="Q235" s="436"/>
      <c r="R235" s="436"/>
      <c r="S235" s="436"/>
      <c r="T235" s="436"/>
      <c r="U235" s="437"/>
      <c r="V235" s="550">
        <v>0</v>
      </c>
    </row>
    <row r="236" spans="1:22" s="40" customFormat="1" ht="13.5" thickBot="1">
      <c r="A236" s="592"/>
      <c r="B236" s="586"/>
      <c r="C236" s="587"/>
      <c r="D236" s="587"/>
      <c r="E236" s="587"/>
      <c r="F236" s="587"/>
      <c r="G236" s="588"/>
      <c r="H236" s="590"/>
      <c r="I236" s="586"/>
      <c r="J236" s="587"/>
      <c r="K236" s="587"/>
      <c r="L236" s="587"/>
      <c r="M236" s="587"/>
      <c r="N236" s="587"/>
      <c r="O236" s="587"/>
      <c r="P236" s="587"/>
      <c r="Q236" s="587"/>
      <c r="R236" s="587"/>
      <c r="S236" s="587"/>
      <c r="T236" s="587"/>
      <c r="U236" s="588"/>
      <c r="V236" s="551"/>
    </row>
    <row r="237" spans="1:22" s="40" customFormat="1" ht="12.75">
      <c r="A237" s="127"/>
      <c r="B237" s="104"/>
      <c r="C237" s="104"/>
      <c r="D237" s="104"/>
      <c r="E237" s="104"/>
      <c r="F237" s="104"/>
      <c r="G237" s="104"/>
      <c r="H237" s="128"/>
      <c r="I237" s="104"/>
      <c r="J237" s="104"/>
      <c r="K237" s="104"/>
      <c r="L237" s="104"/>
      <c r="M237" s="104"/>
      <c r="N237" s="104"/>
      <c r="O237" s="104"/>
      <c r="P237" s="104"/>
      <c r="Q237" s="104"/>
      <c r="R237" s="104"/>
      <c r="S237" s="104"/>
      <c r="T237" s="104"/>
      <c r="U237" s="104"/>
      <c r="V237" s="85"/>
    </row>
    <row r="238" spans="1:34" ht="18.75" thickBot="1">
      <c r="A238" s="461" t="s">
        <v>145</v>
      </c>
      <c r="B238" s="461"/>
      <c r="C238" s="461"/>
      <c r="D238" s="461"/>
      <c r="E238" s="461"/>
      <c r="F238" s="461"/>
      <c r="G238" s="461"/>
      <c r="H238" s="461"/>
      <c r="I238" s="461"/>
      <c r="J238" s="461"/>
      <c r="K238" s="461"/>
      <c r="L238" s="461"/>
      <c r="M238" s="461"/>
      <c r="N238" s="461"/>
      <c r="O238" s="461"/>
      <c r="P238" s="461"/>
      <c r="Q238" s="461"/>
      <c r="R238" s="461"/>
      <c r="S238" s="461"/>
      <c r="T238" s="461"/>
      <c r="U238" s="461"/>
      <c r="V238" s="461"/>
      <c r="W238" s="16"/>
      <c r="X238" s="17"/>
      <c r="Y238" s="489"/>
      <c r="Z238" s="490"/>
      <c r="AC238" s="17"/>
      <c r="AH238" s="17"/>
    </row>
    <row r="239" spans="1:34" ht="22.5">
      <c r="A239" s="18" t="s">
        <v>0</v>
      </c>
      <c r="B239" s="139" t="s">
        <v>86</v>
      </c>
      <c r="C239" s="139"/>
      <c r="D239" s="139"/>
      <c r="E239" s="139"/>
      <c r="F239" s="139"/>
      <c r="G239" s="140"/>
      <c r="H239" s="19" t="s">
        <v>29</v>
      </c>
      <c r="I239" s="462" t="s">
        <v>85</v>
      </c>
      <c r="J239" s="463"/>
      <c r="K239" s="463"/>
      <c r="L239" s="463"/>
      <c r="M239" s="463"/>
      <c r="N239" s="463"/>
      <c r="O239" s="463"/>
      <c r="P239" s="463"/>
      <c r="Q239" s="463"/>
      <c r="R239" s="463"/>
      <c r="S239" s="463"/>
      <c r="T239" s="463"/>
      <c r="U239" s="464"/>
      <c r="V239" s="20" t="s">
        <v>29</v>
      </c>
      <c r="W239" s="16"/>
      <c r="X239" s="17"/>
      <c r="Y239" s="489"/>
      <c r="Z239" s="490"/>
      <c r="AC239" s="17"/>
      <c r="AH239" s="17"/>
    </row>
    <row r="240" spans="1:34" ht="13.5" thickBot="1">
      <c r="A240" s="21"/>
      <c r="B240" s="22" t="s">
        <v>61</v>
      </c>
      <c r="C240" s="22"/>
      <c r="D240" s="22"/>
      <c r="E240" s="22"/>
      <c r="F240" s="22"/>
      <c r="G240" s="23"/>
      <c r="H240" s="24" t="s">
        <v>62</v>
      </c>
      <c r="I240" s="465"/>
      <c r="J240" s="466"/>
      <c r="K240" s="466"/>
      <c r="L240" s="466"/>
      <c r="M240" s="466"/>
      <c r="N240" s="466"/>
      <c r="O240" s="466"/>
      <c r="P240" s="466"/>
      <c r="Q240" s="466"/>
      <c r="R240" s="466"/>
      <c r="S240" s="466"/>
      <c r="T240" s="466"/>
      <c r="U240" s="467"/>
      <c r="V240" s="25" t="s">
        <v>63</v>
      </c>
      <c r="W240" s="16"/>
      <c r="X240" s="17"/>
      <c r="Y240" s="489"/>
      <c r="Z240" s="490"/>
      <c r="AC240" s="17"/>
      <c r="AH240" s="17"/>
    </row>
    <row r="241" spans="1:22" ht="13.5" thickBot="1">
      <c r="A241" s="26" t="s">
        <v>74</v>
      </c>
      <c r="B241" s="27"/>
      <c r="C241" s="28"/>
      <c r="D241" s="28"/>
      <c r="E241" s="28"/>
      <c r="F241" s="28"/>
      <c r="G241" s="28"/>
      <c r="H241" s="29">
        <f>SUM(H242:H242)</f>
        <v>100</v>
      </c>
      <c r="I241" s="27"/>
      <c r="J241" s="28"/>
      <c r="K241" s="28"/>
      <c r="L241" s="28"/>
      <c r="M241" s="28"/>
      <c r="N241" s="28"/>
      <c r="O241" s="28"/>
      <c r="P241" s="28"/>
      <c r="Q241" s="28"/>
      <c r="R241" s="28"/>
      <c r="S241" s="28"/>
      <c r="T241" s="28"/>
      <c r="U241" s="28"/>
      <c r="V241" s="29">
        <f>SUM(V242:V242)</f>
        <v>150</v>
      </c>
    </row>
    <row r="242" spans="1:22" s="40" customFormat="1" ht="13.5" thickBot="1">
      <c r="A242" s="244" t="s">
        <v>113</v>
      </c>
      <c r="B242" s="68" t="s">
        <v>210</v>
      </c>
      <c r="C242" s="69"/>
      <c r="D242" s="69"/>
      <c r="E242" s="69"/>
      <c r="F242" s="69"/>
      <c r="G242" s="69"/>
      <c r="H242" s="70">
        <v>100</v>
      </c>
      <c r="I242" s="68" t="s">
        <v>227</v>
      </c>
      <c r="J242" s="69"/>
      <c r="K242" s="69"/>
      <c r="L242" s="69"/>
      <c r="M242" s="69"/>
      <c r="N242" s="69"/>
      <c r="O242" s="69"/>
      <c r="P242" s="69"/>
      <c r="Q242" s="69"/>
      <c r="R242" s="69"/>
      <c r="S242" s="69"/>
      <c r="T242" s="69"/>
      <c r="U242" s="69"/>
      <c r="V242" s="59">
        <f>45+105</f>
        <v>150</v>
      </c>
    </row>
    <row r="243" spans="1:22" s="40" customFormat="1" ht="13.5" thickBot="1">
      <c r="A243" s="132" t="s">
        <v>75</v>
      </c>
      <c r="B243" s="133"/>
      <c r="C243" s="134"/>
      <c r="D243" s="134"/>
      <c r="E243" s="134"/>
      <c r="F243" s="134"/>
      <c r="G243" s="134"/>
      <c r="H243" s="102">
        <f>SUM(H244)</f>
        <v>0</v>
      </c>
      <c r="I243" s="133"/>
      <c r="J243" s="134"/>
      <c r="K243" s="134"/>
      <c r="L243" s="134"/>
      <c r="M243" s="134"/>
      <c r="N243" s="134"/>
      <c r="O243" s="134"/>
      <c r="P243" s="134"/>
      <c r="Q243" s="134"/>
      <c r="R243" s="134"/>
      <c r="S243" s="134"/>
      <c r="T243" s="134"/>
      <c r="U243" s="134"/>
      <c r="V243" s="102">
        <f>SUM(V244)</f>
        <v>0</v>
      </c>
    </row>
    <row r="244" spans="1:22" s="40" customFormat="1" ht="13.5" thickBot="1">
      <c r="A244" s="121" t="s">
        <v>130</v>
      </c>
      <c r="B244" s="75"/>
      <c r="C244" s="76"/>
      <c r="D244" s="76"/>
      <c r="E244" s="76"/>
      <c r="F244" s="76"/>
      <c r="G244" s="76"/>
      <c r="H244" s="124">
        <v>0</v>
      </c>
      <c r="I244" s="75"/>
      <c r="J244" s="76"/>
      <c r="K244" s="76"/>
      <c r="L244" s="76"/>
      <c r="M244" s="76"/>
      <c r="N244" s="76"/>
      <c r="O244" s="76"/>
      <c r="P244" s="76"/>
      <c r="Q244" s="76"/>
      <c r="R244" s="76"/>
      <c r="S244" s="76"/>
      <c r="T244" s="76"/>
      <c r="U244" s="76"/>
      <c r="V244" s="125">
        <v>0</v>
      </c>
    </row>
    <row r="245" spans="1:22" ht="13.5" thickBot="1">
      <c r="A245" s="132" t="s">
        <v>76</v>
      </c>
      <c r="B245" s="27"/>
      <c r="C245" s="28"/>
      <c r="D245" s="28"/>
      <c r="E245" s="28"/>
      <c r="F245" s="28"/>
      <c r="G245" s="28"/>
      <c r="H245" s="29">
        <f>SUM(H246:H246)</f>
        <v>250</v>
      </c>
      <c r="I245" s="27"/>
      <c r="J245" s="28"/>
      <c r="K245" s="28"/>
      <c r="L245" s="28"/>
      <c r="M245" s="28"/>
      <c r="N245" s="28"/>
      <c r="O245" s="28"/>
      <c r="P245" s="28"/>
      <c r="Q245" s="28"/>
      <c r="R245" s="28"/>
      <c r="S245" s="28"/>
      <c r="T245" s="28"/>
      <c r="U245" s="28"/>
      <c r="V245" s="29">
        <f>SUM(V246:V246)</f>
        <v>0</v>
      </c>
    </row>
    <row r="246" spans="1:22" s="40" customFormat="1" ht="59.25" customHeight="1" thickBot="1">
      <c r="A246" s="245" t="s">
        <v>6</v>
      </c>
      <c r="B246" s="444" t="s">
        <v>211</v>
      </c>
      <c r="C246" s="445"/>
      <c r="D246" s="445"/>
      <c r="E246" s="445"/>
      <c r="F246" s="445"/>
      <c r="G246" s="446"/>
      <c r="H246" s="38">
        <f>30+80+30+70+40</f>
        <v>250</v>
      </c>
      <c r="I246" s="576"/>
      <c r="J246" s="577"/>
      <c r="K246" s="577"/>
      <c r="L246" s="577"/>
      <c r="M246" s="577"/>
      <c r="N246" s="577"/>
      <c r="O246" s="577"/>
      <c r="P246" s="577"/>
      <c r="Q246" s="577"/>
      <c r="R246" s="577"/>
      <c r="S246" s="577"/>
      <c r="T246" s="577"/>
      <c r="U246" s="578"/>
      <c r="V246" s="39">
        <v>0</v>
      </c>
    </row>
    <row r="247" spans="1:22" ht="13.5" thickBot="1">
      <c r="A247" s="132" t="s">
        <v>77</v>
      </c>
      <c r="B247" s="27"/>
      <c r="C247" s="28"/>
      <c r="D247" s="28"/>
      <c r="E247" s="28"/>
      <c r="F247" s="28"/>
      <c r="G247" s="28"/>
      <c r="H247" s="29">
        <f>SUM(H248:H256)</f>
        <v>877</v>
      </c>
      <c r="I247" s="136"/>
      <c r="J247" s="28"/>
      <c r="K247" s="28"/>
      <c r="L247" s="28"/>
      <c r="M247" s="28"/>
      <c r="N247" s="28"/>
      <c r="O247" s="28"/>
      <c r="P247" s="28"/>
      <c r="Q247" s="28"/>
      <c r="R247" s="28"/>
      <c r="S247" s="28"/>
      <c r="T247" s="28"/>
      <c r="U247" s="28"/>
      <c r="V247" s="29">
        <f>SUM(V248:V256)</f>
        <v>590</v>
      </c>
    </row>
    <row r="248" spans="1:22" s="40" customFormat="1" ht="24.75" customHeight="1">
      <c r="A248" s="129" t="s">
        <v>134</v>
      </c>
      <c r="B248" s="441"/>
      <c r="C248" s="442"/>
      <c r="D248" s="442"/>
      <c r="E248" s="442"/>
      <c r="F248" s="442"/>
      <c r="G248" s="443"/>
      <c r="H248" s="70">
        <v>0</v>
      </c>
      <c r="I248" s="68" t="s">
        <v>228</v>
      </c>
      <c r="J248" s="69"/>
      <c r="K248" s="69"/>
      <c r="L248" s="69"/>
      <c r="M248" s="69"/>
      <c r="N248" s="69"/>
      <c r="O248" s="69"/>
      <c r="P248" s="69"/>
      <c r="Q248" s="69"/>
      <c r="R248" s="69"/>
      <c r="S248" s="69"/>
      <c r="T248" s="69"/>
      <c r="U248" s="69"/>
      <c r="V248" s="59">
        <v>300</v>
      </c>
    </row>
    <row r="249" spans="1:22" s="40" customFormat="1" ht="12.75">
      <c r="A249" s="130" t="s">
        <v>135</v>
      </c>
      <c r="B249" s="36"/>
      <c r="C249" s="37"/>
      <c r="D249" s="37"/>
      <c r="E249" s="37"/>
      <c r="F249" s="37"/>
      <c r="G249" s="37"/>
      <c r="H249" s="38">
        <v>0</v>
      </c>
      <c r="I249" s="36"/>
      <c r="J249" s="37"/>
      <c r="K249" s="37"/>
      <c r="L249" s="37"/>
      <c r="M249" s="37"/>
      <c r="N249" s="37"/>
      <c r="O249" s="37"/>
      <c r="P249" s="37"/>
      <c r="Q249" s="37"/>
      <c r="R249" s="37"/>
      <c r="S249" s="37"/>
      <c r="T249" s="37"/>
      <c r="U249" s="37"/>
      <c r="V249" s="39">
        <v>0</v>
      </c>
    </row>
    <row r="250" spans="1:22" s="40" customFormat="1" ht="12.75">
      <c r="A250" s="31" t="s">
        <v>136</v>
      </c>
      <c r="B250" s="68"/>
      <c r="C250" s="69"/>
      <c r="D250" s="69"/>
      <c r="E250" s="69"/>
      <c r="F250" s="69"/>
      <c r="G250" s="69"/>
      <c r="H250" s="70">
        <v>0</v>
      </c>
      <c r="I250" s="68"/>
      <c r="J250" s="69"/>
      <c r="K250" s="69"/>
      <c r="L250" s="69"/>
      <c r="M250" s="69"/>
      <c r="N250" s="69"/>
      <c r="O250" s="69"/>
      <c r="P250" s="69"/>
      <c r="Q250" s="69"/>
      <c r="R250" s="69"/>
      <c r="S250" s="69"/>
      <c r="T250" s="69"/>
      <c r="U250" s="69"/>
      <c r="V250" s="59">
        <v>0</v>
      </c>
    </row>
    <row r="251" spans="1:22" s="40" customFormat="1" ht="12.75">
      <c r="A251" s="129" t="s">
        <v>137</v>
      </c>
      <c r="B251" s="36"/>
      <c r="C251" s="37"/>
      <c r="D251" s="37"/>
      <c r="E251" s="37"/>
      <c r="F251" s="37"/>
      <c r="G251" s="37"/>
      <c r="H251" s="38">
        <v>0</v>
      </c>
      <c r="I251" s="36" t="s">
        <v>172</v>
      </c>
      <c r="J251" s="37"/>
      <c r="K251" s="37"/>
      <c r="L251" s="37"/>
      <c r="M251" s="37"/>
      <c r="N251" s="37"/>
      <c r="O251" s="37"/>
      <c r="P251" s="37"/>
      <c r="Q251" s="37"/>
      <c r="R251" s="37"/>
      <c r="S251" s="37"/>
      <c r="T251" s="37"/>
      <c r="U251" s="37"/>
      <c r="V251" s="39">
        <v>130</v>
      </c>
    </row>
    <row r="252" spans="1:22" s="40" customFormat="1" ht="25.5" customHeight="1">
      <c r="A252" s="55" t="s">
        <v>138</v>
      </c>
      <c r="B252" s="547" t="s">
        <v>212</v>
      </c>
      <c r="C252" s="548"/>
      <c r="D252" s="548"/>
      <c r="E252" s="548"/>
      <c r="F252" s="548"/>
      <c r="G252" s="549"/>
      <c r="H252" s="71">
        <v>302</v>
      </c>
      <c r="I252" s="48" t="s">
        <v>192</v>
      </c>
      <c r="J252" s="131"/>
      <c r="K252" s="131"/>
      <c r="L252" s="131"/>
      <c r="M252" s="131"/>
      <c r="N252" s="131"/>
      <c r="O252" s="131"/>
      <c r="P252" s="131"/>
      <c r="Q252" s="131"/>
      <c r="R252" s="131"/>
      <c r="S252" s="131"/>
      <c r="T252" s="131"/>
      <c r="U252" s="131"/>
      <c r="V252" s="58">
        <v>160</v>
      </c>
    </row>
    <row r="253" spans="1:22" ht="23.25" customHeight="1">
      <c r="A253" s="130" t="s">
        <v>139</v>
      </c>
      <c r="B253" s="444"/>
      <c r="C253" s="476"/>
      <c r="D253" s="476"/>
      <c r="E253" s="476"/>
      <c r="F253" s="476"/>
      <c r="G253" s="477"/>
      <c r="H253" s="34">
        <v>0</v>
      </c>
      <c r="I253" s="51"/>
      <c r="J253" s="33"/>
      <c r="K253" s="33"/>
      <c r="L253" s="33"/>
      <c r="M253" s="33"/>
      <c r="N253" s="33"/>
      <c r="O253" s="33"/>
      <c r="P253" s="33"/>
      <c r="Q253" s="33"/>
      <c r="R253" s="33"/>
      <c r="S253" s="33"/>
      <c r="T253" s="33"/>
      <c r="U253" s="33"/>
      <c r="V253" s="35">
        <v>0</v>
      </c>
    </row>
    <row r="254" spans="1:22" s="40" customFormat="1" ht="22.5" customHeight="1">
      <c r="A254" s="143" t="s">
        <v>140</v>
      </c>
      <c r="B254" s="444" t="s">
        <v>213</v>
      </c>
      <c r="C254" s="476"/>
      <c r="D254" s="476"/>
      <c r="E254" s="476"/>
      <c r="F254" s="476"/>
      <c r="G254" s="477"/>
      <c r="H254" s="38">
        <v>500</v>
      </c>
      <c r="I254" s="36"/>
      <c r="J254" s="37"/>
      <c r="K254" s="37"/>
      <c r="L254" s="37"/>
      <c r="M254" s="37"/>
      <c r="N254" s="37"/>
      <c r="O254" s="37"/>
      <c r="P254" s="37"/>
      <c r="Q254" s="37"/>
      <c r="R254" s="37"/>
      <c r="S254" s="37"/>
      <c r="T254" s="37"/>
      <c r="U254" s="37"/>
      <c r="V254" s="39">
        <v>0</v>
      </c>
    </row>
    <row r="255" spans="1:22" ht="14.25" customHeight="1">
      <c r="A255" s="144" t="s">
        <v>141</v>
      </c>
      <c r="B255" s="131"/>
      <c r="C255" s="46"/>
      <c r="D255" s="46"/>
      <c r="E255" s="46"/>
      <c r="F255" s="46"/>
      <c r="G255" s="46"/>
      <c r="H255" s="47">
        <v>0</v>
      </c>
      <c r="I255" s="48"/>
      <c r="J255" s="46"/>
      <c r="K255" s="46"/>
      <c r="L255" s="46"/>
      <c r="M255" s="46"/>
      <c r="N255" s="46"/>
      <c r="O255" s="46"/>
      <c r="P255" s="46"/>
      <c r="Q255" s="46"/>
      <c r="R255" s="46"/>
      <c r="S255" s="46"/>
      <c r="T255" s="46"/>
      <c r="U255" s="46"/>
      <c r="V255" s="49">
        <v>0</v>
      </c>
    </row>
    <row r="256" spans="1:22" s="40" customFormat="1" ht="16.5" customHeight="1" thickBot="1">
      <c r="A256" s="137" t="s">
        <v>142</v>
      </c>
      <c r="B256" s="61" t="s">
        <v>214</v>
      </c>
      <c r="C256" s="62"/>
      <c r="D256" s="62"/>
      <c r="E256" s="62"/>
      <c r="F256" s="62"/>
      <c r="G256" s="62"/>
      <c r="H256" s="63">
        <v>75</v>
      </c>
      <c r="I256" s="62"/>
      <c r="J256" s="62"/>
      <c r="K256" s="62"/>
      <c r="L256" s="62"/>
      <c r="M256" s="62"/>
      <c r="N256" s="62"/>
      <c r="O256" s="62"/>
      <c r="P256" s="62"/>
      <c r="Q256" s="62"/>
      <c r="R256" s="62"/>
      <c r="S256" s="62"/>
      <c r="T256" s="62"/>
      <c r="U256" s="62"/>
      <c r="V256" s="64">
        <v>0</v>
      </c>
    </row>
    <row r="257" spans="1:22" ht="12" customHeight="1">
      <c r="A257" s="138"/>
      <c r="B257" s="104"/>
      <c r="C257" s="104"/>
      <c r="E257" s="104"/>
      <c r="F257" s="104"/>
      <c r="G257" s="85"/>
      <c r="H257" s="128"/>
      <c r="I257" s="104"/>
      <c r="J257" s="104"/>
      <c r="K257" s="104"/>
      <c r="L257" s="104"/>
      <c r="M257" s="104"/>
      <c r="N257" s="104"/>
      <c r="O257" s="104"/>
      <c r="P257" s="104"/>
      <c r="Q257" s="104"/>
      <c r="R257" s="104"/>
      <c r="S257" s="104"/>
      <c r="T257" s="104"/>
      <c r="U257" s="104"/>
      <c r="V257" s="128"/>
    </row>
  </sheetData>
  <sheetProtection/>
  <mergeCells count="235">
    <mergeCell ref="B161:G161"/>
    <mergeCell ref="I162:U162"/>
    <mergeCell ref="B145:G145"/>
    <mergeCell ref="I145:U145"/>
    <mergeCell ref="B148:G148"/>
    <mergeCell ref="I149:U149"/>
    <mergeCell ref="I154:U155"/>
    <mergeCell ref="I152:U152"/>
    <mergeCell ref="I148:U148"/>
    <mergeCell ref="B154:G155"/>
    <mergeCell ref="A159:A160"/>
    <mergeCell ref="H181:H182"/>
    <mergeCell ref="A179:A180"/>
    <mergeCell ref="A181:A182"/>
    <mergeCell ref="B179:G180"/>
    <mergeCell ref="B175:G176"/>
    <mergeCell ref="H175:H176"/>
    <mergeCell ref="A164:V164"/>
    <mergeCell ref="I165:U166"/>
    <mergeCell ref="V179:V180"/>
    <mergeCell ref="A184:A185"/>
    <mergeCell ref="B186:G187"/>
    <mergeCell ref="B181:G182"/>
    <mergeCell ref="I216:U216"/>
    <mergeCell ref="A214:A215"/>
    <mergeCell ref="B196:G196"/>
    <mergeCell ref="A186:A187"/>
    <mergeCell ref="A194:A195"/>
    <mergeCell ref="B194:G195"/>
    <mergeCell ref="A190:A191"/>
    <mergeCell ref="A150:A151"/>
    <mergeCell ref="B157:G158"/>
    <mergeCell ref="H157:H158"/>
    <mergeCell ref="A154:A155"/>
    <mergeCell ref="H154:H155"/>
    <mergeCell ref="A157:A158"/>
    <mergeCell ref="B156:G156"/>
    <mergeCell ref="A197:A199"/>
    <mergeCell ref="V197:V199"/>
    <mergeCell ref="V150:V151"/>
    <mergeCell ref="B150:G151"/>
    <mergeCell ref="H150:H151"/>
    <mergeCell ref="Y165:Z165"/>
    <mergeCell ref="B159:G160"/>
    <mergeCell ref="H159:H160"/>
    <mergeCell ref="I159:U160"/>
    <mergeCell ref="V159:V160"/>
    <mergeCell ref="A173:A174"/>
    <mergeCell ref="B173:G174"/>
    <mergeCell ref="H173:H174"/>
    <mergeCell ref="V173:V174"/>
    <mergeCell ref="Y203:Z203"/>
    <mergeCell ref="B197:G199"/>
    <mergeCell ref="H197:H199"/>
    <mergeCell ref="Y202:Z202"/>
    <mergeCell ref="A201:V201"/>
    <mergeCell ref="I202:U203"/>
    <mergeCell ref="H179:H180"/>
    <mergeCell ref="V168:V169"/>
    <mergeCell ref="A168:A169"/>
    <mergeCell ref="I168:U169"/>
    <mergeCell ref="H168:H169"/>
    <mergeCell ref="B168:G169"/>
    <mergeCell ref="I175:U176"/>
    <mergeCell ref="V175:V176"/>
    <mergeCell ref="I173:U174"/>
    <mergeCell ref="A175:A176"/>
    <mergeCell ref="L93:L95"/>
    <mergeCell ref="S93:S95"/>
    <mergeCell ref="R93:R95"/>
    <mergeCell ref="P93:P95"/>
    <mergeCell ref="N93:N95"/>
    <mergeCell ref="O93:O95"/>
    <mergeCell ref="M93:M95"/>
    <mergeCell ref="V93:V95"/>
    <mergeCell ref="A91:V91"/>
    <mergeCell ref="D50:D52"/>
    <mergeCell ref="H94:H95"/>
    <mergeCell ref="J93:J95"/>
    <mergeCell ref="K93:K95"/>
    <mergeCell ref="E94:E95"/>
    <mergeCell ref="F94:F95"/>
    <mergeCell ref="G94:G95"/>
    <mergeCell ref="I50:I52"/>
    <mergeCell ref="T93:T95"/>
    <mergeCell ref="U93:U95"/>
    <mergeCell ref="Q93:Q95"/>
    <mergeCell ref="T6:T8"/>
    <mergeCell ref="U6:U8"/>
    <mergeCell ref="S6:S8"/>
    <mergeCell ref="O49:R49"/>
    <mergeCell ref="U50:U52"/>
    <mergeCell ref="T50:T52"/>
    <mergeCell ref="V6:V8"/>
    <mergeCell ref="C6:C8"/>
    <mergeCell ref="D6:D8"/>
    <mergeCell ref="G7:G8"/>
    <mergeCell ref="I6:I8"/>
    <mergeCell ref="L6:L8"/>
    <mergeCell ref="M6:M8"/>
    <mergeCell ref="N6:N8"/>
    <mergeCell ref="O6:O8"/>
    <mergeCell ref="J6:J8"/>
    <mergeCell ref="I93:I95"/>
    <mergeCell ref="B93:B95"/>
    <mergeCell ref="P6:P8"/>
    <mergeCell ref="S92:V92"/>
    <mergeCell ref="R6:R8"/>
    <mergeCell ref="R50:R52"/>
    <mergeCell ref="O92:R92"/>
    <mergeCell ref="O50:O52"/>
    <mergeCell ref="S50:S52"/>
    <mergeCell ref="S49:V49"/>
    <mergeCell ref="B252:G252"/>
    <mergeCell ref="V235:V236"/>
    <mergeCell ref="H231:H232"/>
    <mergeCell ref="A221:A223"/>
    <mergeCell ref="I221:U223"/>
    <mergeCell ref="V221:V223"/>
    <mergeCell ref="B221:G223"/>
    <mergeCell ref="I246:U246"/>
    <mergeCell ref="B253:G253"/>
    <mergeCell ref="B248:G248"/>
    <mergeCell ref="B190:G191"/>
    <mergeCell ref="B246:G246"/>
    <mergeCell ref="B231:G232"/>
    <mergeCell ref="A238:V238"/>
    <mergeCell ref="B235:G236"/>
    <mergeCell ref="H235:H236"/>
    <mergeCell ref="I235:U236"/>
    <mergeCell ref="A235:A236"/>
    <mergeCell ref="V214:V215"/>
    <mergeCell ref="B216:G216"/>
    <mergeCell ref="B214:G215"/>
    <mergeCell ref="H214:H215"/>
    <mergeCell ref="Y238:Z238"/>
    <mergeCell ref="I239:U240"/>
    <mergeCell ref="Y239:Z239"/>
    <mergeCell ref="Y240:Z240"/>
    <mergeCell ref="B204:G204"/>
    <mergeCell ref="I205:U205"/>
    <mergeCell ref="B211:G211"/>
    <mergeCell ref="I212:U212"/>
    <mergeCell ref="H221:H223"/>
    <mergeCell ref="A231:A232"/>
    <mergeCell ref="I214:U215"/>
    <mergeCell ref="B217:G217"/>
    <mergeCell ref="I217:U217"/>
    <mergeCell ref="I213:U213"/>
    <mergeCell ref="B210:G210"/>
    <mergeCell ref="V194:V195"/>
    <mergeCell ref="I186:U187"/>
    <mergeCell ref="I196:U196"/>
    <mergeCell ref="V186:V187"/>
    <mergeCell ref="H194:H195"/>
    <mergeCell ref="I194:U195"/>
    <mergeCell ref="I197:U199"/>
    <mergeCell ref="I189:U189"/>
    <mergeCell ref="I204:U204"/>
    <mergeCell ref="H184:H185"/>
    <mergeCell ref="B183:G183"/>
    <mergeCell ref="H190:H191"/>
    <mergeCell ref="B188:G188"/>
    <mergeCell ref="H186:H187"/>
    <mergeCell ref="I209:U209"/>
    <mergeCell ref="B205:G205"/>
    <mergeCell ref="B206:G206"/>
    <mergeCell ref="B207:G207"/>
    <mergeCell ref="I207:U207"/>
    <mergeCell ref="I147:U147"/>
    <mergeCell ref="Y129:Z129"/>
    <mergeCell ref="Y130:Z130"/>
    <mergeCell ref="Y131:Z131"/>
    <mergeCell ref="Y132:Z132"/>
    <mergeCell ref="V184:V185"/>
    <mergeCell ref="V181:V182"/>
    <mergeCell ref="I181:U182"/>
    <mergeCell ref="Y166:Z166"/>
    <mergeCell ref="I150:U151"/>
    <mergeCell ref="Y125:Z125"/>
    <mergeCell ref="I126:U127"/>
    <mergeCell ref="Y126:Z126"/>
    <mergeCell ref="Y127:Z127"/>
    <mergeCell ref="Y133:Z133"/>
    <mergeCell ref="Y134:Z134"/>
    <mergeCell ref="R1:V1"/>
    <mergeCell ref="R2:V2"/>
    <mergeCell ref="A3:V3"/>
    <mergeCell ref="E7:E8"/>
    <mergeCell ref="O5:R5"/>
    <mergeCell ref="S5:V5"/>
    <mergeCell ref="B6:B8"/>
    <mergeCell ref="Q6:Q8"/>
    <mergeCell ref="H7:H8"/>
    <mergeCell ref="F7:F8"/>
    <mergeCell ref="M50:M52"/>
    <mergeCell ref="K6:K8"/>
    <mergeCell ref="N50:N52"/>
    <mergeCell ref="J50:J52"/>
    <mergeCell ref="K50:K52"/>
    <mergeCell ref="L50:L52"/>
    <mergeCell ref="A48:V48"/>
    <mergeCell ref="Q50:Q52"/>
    <mergeCell ref="P50:P52"/>
    <mergeCell ref="V50:V52"/>
    <mergeCell ref="B209:G209"/>
    <mergeCell ref="O119:P119"/>
    <mergeCell ref="A125:V125"/>
    <mergeCell ref="O123:P123"/>
    <mergeCell ref="I123:J123"/>
    <mergeCell ref="I120:J120"/>
    <mergeCell ref="O120:P120"/>
    <mergeCell ref="C119:D119"/>
    <mergeCell ref="I183:U183"/>
    <mergeCell ref="I184:U185"/>
    <mergeCell ref="H51:H52"/>
    <mergeCell ref="B254:G254"/>
    <mergeCell ref="V154:V155"/>
    <mergeCell ref="I157:U158"/>
    <mergeCell ref="V157:V158"/>
    <mergeCell ref="I231:U232"/>
    <mergeCell ref="V231:V232"/>
    <mergeCell ref="I190:U191"/>
    <mergeCell ref="V190:V191"/>
    <mergeCell ref="I179:U180"/>
    <mergeCell ref="B178:G178"/>
    <mergeCell ref="B189:G189"/>
    <mergeCell ref="C50:C52"/>
    <mergeCell ref="B50:B52"/>
    <mergeCell ref="B184:G185"/>
    <mergeCell ref="C93:C95"/>
    <mergeCell ref="D93:D95"/>
    <mergeCell ref="E51:E52"/>
    <mergeCell ref="F51:F52"/>
    <mergeCell ref="G51:G52"/>
  </mergeCells>
  <printOptions horizontalCentered="1" verticalCentered="1"/>
  <pageMargins left="0.2755905511811024" right="0.2755905511811024" top="0.3937007874015748" bottom="0.35433070866141736" header="0.11811023622047245" footer="0.11811023622047245"/>
  <pageSetup firstPageNumber="1" useFirstPageNumber="1" horizontalDpi="600" verticalDpi="600" orientation="landscape" paperSize="9" scale="64" r:id="rId1"/>
  <headerFooter alignWithMargins="0">
    <oddFooter>&amp;C&amp;P</oddFooter>
  </headerFooter>
  <rowBreaks count="6" manualBreakCount="6">
    <brk id="47" max="21" man="1"/>
    <brk id="90" max="255" man="1"/>
    <brk id="124" max="21" man="1"/>
    <brk id="163" max="21" man="1"/>
    <brk id="200" max="21" man="1"/>
    <brk id="236" max="21" man="1"/>
  </rowBreaks>
</worksheet>
</file>

<file path=xl/worksheets/sheet3.xml><?xml version="1.0" encoding="utf-8"?>
<worksheet xmlns="http://schemas.openxmlformats.org/spreadsheetml/2006/main" xmlns:r="http://schemas.openxmlformats.org/officeDocument/2006/relationships">
  <sheetPr>
    <pageSetUpPr fitToPage="1"/>
  </sheetPr>
  <dimension ref="A1:IV257"/>
  <sheetViews>
    <sheetView showGridLines="0" zoomScalePageLayoutView="0" workbookViewId="0" topLeftCell="A1">
      <pane xSplit="1" ySplit="8" topLeftCell="B71" activePane="bottomRight" state="frozen"/>
      <selection pane="topLeft" activeCell="A1" sqref="A1"/>
      <selection pane="topRight" activeCell="B1" sqref="B1"/>
      <selection pane="bottomLeft" activeCell="A9" sqref="A9"/>
      <selection pane="bottomRight" activeCell="A1" sqref="A1:IV16384"/>
    </sheetView>
  </sheetViews>
  <sheetFormatPr defaultColWidth="9.00390625" defaultRowHeight="12.75"/>
  <cols>
    <col min="1" max="1" width="59.75390625" style="8" customWidth="1"/>
    <col min="2" max="22" width="7.25390625" style="8" customWidth="1"/>
    <col min="23" max="16384" width="9.125" style="8" customWidth="1"/>
  </cols>
  <sheetData>
    <row r="1" spans="1:22" s="367" customFormat="1" ht="12.75" customHeight="1">
      <c r="A1" s="369"/>
      <c r="B1" s="371"/>
      <c r="C1" s="371"/>
      <c r="D1" s="371"/>
      <c r="E1" s="370"/>
      <c r="F1" s="371"/>
      <c r="G1" s="370"/>
      <c r="H1" s="370"/>
      <c r="I1" s="370"/>
      <c r="J1" s="371"/>
      <c r="K1" s="370"/>
      <c r="L1" s="370"/>
      <c r="M1" s="370" t="s">
        <v>16</v>
      </c>
      <c r="N1" s="370"/>
      <c r="O1" s="371"/>
      <c r="P1" s="370"/>
      <c r="Q1" s="370"/>
      <c r="R1" s="680" t="s">
        <v>151</v>
      </c>
      <c r="S1" s="680"/>
      <c r="T1" s="680"/>
      <c r="U1" s="680"/>
      <c r="V1" s="680"/>
    </row>
    <row r="2" spans="1:22" ht="12.75" customHeight="1">
      <c r="A2" s="157" t="s">
        <v>16</v>
      </c>
      <c r="B2" s="158" t="s">
        <v>16</v>
      </c>
      <c r="C2" s="158" t="s">
        <v>16</v>
      </c>
      <c r="D2" s="158"/>
      <c r="E2" s="158"/>
      <c r="F2" s="159"/>
      <c r="G2" s="158"/>
      <c r="H2" s="158"/>
      <c r="I2" s="158"/>
      <c r="J2" s="158"/>
      <c r="K2" s="158"/>
      <c r="L2" s="158"/>
      <c r="M2" s="158"/>
      <c r="N2" s="158"/>
      <c r="O2" s="158"/>
      <c r="P2" s="158"/>
      <c r="Q2" s="158"/>
      <c r="R2" s="656" t="s">
        <v>102</v>
      </c>
      <c r="S2" s="656"/>
      <c r="T2" s="656"/>
      <c r="U2" s="656"/>
      <c r="V2" s="656"/>
    </row>
    <row r="3" spans="1:22" ht="16.5" customHeight="1">
      <c r="A3" s="657" t="s">
        <v>144</v>
      </c>
      <c r="B3" s="657"/>
      <c r="C3" s="657"/>
      <c r="D3" s="657"/>
      <c r="E3" s="657"/>
      <c r="F3" s="657"/>
      <c r="G3" s="657"/>
      <c r="H3" s="657"/>
      <c r="I3" s="657"/>
      <c r="J3" s="657"/>
      <c r="K3" s="657"/>
      <c r="L3" s="657"/>
      <c r="M3" s="657"/>
      <c r="N3" s="657"/>
      <c r="O3" s="657"/>
      <c r="P3" s="657"/>
      <c r="Q3" s="657"/>
      <c r="R3" s="657"/>
      <c r="S3" s="657"/>
      <c r="T3" s="657"/>
      <c r="U3" s="657"/>
      <c r="V3" s="657"/>
    </row>
    <row r="4" spans="1:22" ht="15" customHeight="1" thickBot="1">
      <c r="A4" s="160" t="s">
        <v>51</v>
      </c>
      <c r="B4" s="161"/>
      <c r="C4" s="161"/>
      <c r="D4" s="162"/>
      <c r="E4" s="162"/>
      <c r="F4" s="162"/>
      <c r="G4" s="162"/>
      <c r="H4" s="162"/>
      <c r="I4" s="162"/>
      <c r="J4" s="162"/>
      <c r="K4" s="162"/>
      <c r="L4" s="162"/>
      <c r="M4" s="162"/>
      <c r="N4" s="162"/>
      <c r="O4" s="162"/>
      <c r="P4" s="162"/>
      <c r="Q4" s="162"/>
      <c r="R4" s="162"/>
      <c r="S4" s="162"/>
      <c r="T4" s="162"/>
      <c r="U4" s="162"/>
      <c r="V4" s="163" t="s">
        <v>8</v>
      </c>
    </row>
    <row r="5" spans="1:22" ht="12.75">
      <c r="A5" s="3"/>
      <c r="B5" s="4" t="s">
        <v>9</v>
      </c>
      <c r="C5" s="5"/>
      <c r="D5" s="5"/>
      <c r="E5" s="5"/>
      <c r="F5" s="5"/>
      <c r="G5" s="5"/>
      <c r="H5" s="5"/>
      <c r="I5" s="6"/>
      <c r="J5" s="4" t="s">
        <v>10</v>
      </c>
      <c r="K5" s="5"/>
      <c r="L5" s="7"/>
      <c r="M5" s="5"/>
      <c r="N5" s="6"/>
      <c r="O5" s="542" t="s">
        <v>11</v>
      </c>
      <c r="P5" s="543"/>
      <c r="Q5" s="543"/>
      <c r="R5" s="544"/>
      <c r="S5" s="542" t="s">
        <v>12</v>
      </c>
      <c r="T5" s="545"/>
      <c r="U5" s="545"/>
      <c r="V5" s="546"/>
    </row>
    <row r="6" spans="1:23" s="13" customFormat="1" ht="14.25" customHeight="1">
      <c r="A6" s="9" t="s">
        <v>0</v>
      </c>
      <c r="B6" s="525" t="s">
        <v>146</v>
      </c>
      <c r="C6" s="537" t="s">
        <v>147</v>
      </c>
      <c r="D6" s="522" t="s">
        <v>78</v>
      </c>
      <c r="E6" s="10" t="s">
        <v>13</v>
      </c>
      <c r="F6" s="10"/>
      <c r="G6" s="10"/>
      <c r="H6" s="11"/>
      <c r="I6" s="528" t="s">
        <v>193</v>
      </c>
      <c r="J6" s="525" t="s">
        <v>146</v>
      </c>
      <c r="K6" s="537" t="s">
        <v>194</v>
      </c>
      <c r="L6" s="522" t="s">
        <v>80</v>
      </c>
      <c r="M6" s="534" t="s">
        <v>81</v>
      </c>
      <c r="N6" s="528" t="s">
        <v>148</v>
      </c>
      <c r="O6" s="525" t="s">
        <v>149</v>
      </c>
      <c r="P6" s="531" t="s">
        <v>150</v>
      </c>
      <c r="Q6" s="534" t="s">
        <v>81</v>
      </c>
      <c r="R6" s="528" t="s">
        <v>193</v>
      </c>
      <c r="S6" s="525" t="s">
        <v>149</v>
      </c>
      <c r="T6" s="531" t="s">
        <v>150</v>
      </c>
      <c r="U6" s="534" t="s">
        <v>81</v>
      </c>
      <c r="V6" s="528" t="s">
        <v>193</v>
      </c>
      <c r="W6" s="12" t="s">
        <v>16</v>
      </c>
    </row>
    <row r="7" spans="1:22" ht="12.75" customHeight="1">
      <c r="A7" s="14"/>
      <c r="B7" s="526"/>
      <c r="C7" s="538" t="s">
        <v>30</v>
      </c>
      <c r="D7" s="523"/>
      <c r="E7" s="540" t="s">
        <v>87</v>
      </c>
      <c r="F7" s="540" t="s">
        <v>59</v>
      </c>
      <c r="G7" s="540" t="s">
        <v>60</v>
      </c>
      <c r="H7" s="534" t="s">
        <v>79</v>
      </c>
      <c r="I7" s="529"/>
      <c r="J7" s="526"/>
      <c r="K7" s="538" t="s">
        <v>30</v>
      </c>
      <c r="L7" s="523"/>
      <c r="M7" s="535"/>
      <c r="N7" s="529"/>
      <c r="O7" s="526"/>
      <c r="P7" s="532"/>
      <c r="Q7" s="535"/>
      <c r="R7" s="529"/>
      <c r="S7" s="526"/>
      <c r="T7" s="532"/>
      <c r="U7" s="535"/>
      <c r="V7" s="529"/>
    </row>
    <row r="8" spans="1:22" ht="53.25" customHeight="1" thickBot="1">
      <c r="A8" s="15" t="s">
        <v>16</v>
      </c>
      <c r="B8" s="527"/>
      <c r="C8" s="539" t="s">
        <v>58</v>
      </c>
      <c r="D8" s="524"/>
      <c r="E8" s="541"/>
      <c r="F8" s="541"/>
      <c r="G8" s="541"/>
      <c r="H8" s="536"/>
      <c r="I8" s="530"/>
      <c r="J8" s="527"/>
      <c r="K8" s="539" t="s">
        <v>58</v>
      </c>
      <c r="L8" s="524"/>
      <c r="M8" s="536"/>
      <c r="N8" s="530"/>
      <c r="O8" s="527"/>
      <c r="P8" s="533"/>
      <c r="Q8" s="536"/>
      <c r="R8" s="530"/>
      <c r="S8" s="527"/>
      <c r="T8" s="533"/>
      <c r="U8" s="536"/>
      <c r="V8" s="530"/>
    </row>
    <row r="9" spans="1:22" s="42" customFormat="1" ht="13.5" thickBot="1">
      <c r="A9" s="164" t="s">
        <v>245</v>
      </c>
      <c r="B9" s="165">
        <f aca="true" t="shared" si="0" ref="B9:V9">SUM(B10+B25+B40+B64+B81+B83+B85+B96+B98+B101+B103+B105+B107)</f>
        <v>47128</v>
      </c>
      <c r="C9" s="165">
        <f t="shared" si="0"/>
        <v>38813</v>
      </c>
      <c r="D9" s="165">
        <f t="shared" si="0"/>
        <v>74052</v>
      </c>
      <c r="E9" s="165">
        <f t="shared" si="0"/>
        <v>29119</v>
      </c>
      <c r="F9" s="165">
        <f t="shared" si="0"/>
        <v>4660</v>
      </c>
      <c r="G9" s="165">
        <f t="shared" si="0"/>
        <v>7032</v>
      </c>
      <c r="H9" s="165">
        <f t="shared" si="0"/>
        <v>71983</v>
      </c>
      <c r="I9" s="165">
        <f t="shared" si="0"/>
        <v>49197</v>
      </c>
      <c r="J9" s="165">
        <f t="shared" si="0"/>
        <v>38802</v>
      </c>
      <c r="K9" s="165">
        <f t="shared" si="0"/>
        <v>31250</v>
      </c>
      <c r="L9" s="165">
        <f t="shared" si="0"/>
        <v>10272</v>
      </c>
      <c r="M9" s="165">
        <f t="shared" si="0"/>
        <v>22630</v>
      </c>
      <c r="N9" s="165">
        <f t="shared" si="0"/>
        <v>26444</v>
      </c>
      <c r="O9" s="165">
        <f t="shared" si="0"/>
        <v>26619</v>
      </c>
      <c r="P9" s="165">
        <f t="shared" si="0"/>
        <v>24723</v>
      </c>
      <c r="Q9" s="165">
        <f t="shared" si="0"/>
        <v>17940</v>
      </c>
      <c r="R9" s="165">
        <f t="shared" si="0"/>
        <v>8679</v>
      </c>
      <c r="S9" s="165">
        <f t="shared" si="0"/>
        <v>11914</v>
      </c>
      <c r="T9" s="165">
        <f t="shared" si="0"/>
        <v>11884</v>
      </c>
      <c r="U9" s="165">
        <f t="shared" si="0"/>
        <v>4233</v>
      </c>
      <c r="V9" s="165">
        <f t="shared" si="0"/>
        <v>7681</v>
      </c>
    </row>
    <row r="10" spans="1:22" s="86" customFormat="1" ht="13.5" thickBot="1">
      <c r="A10" s="166" t="s">
        <v>14</v>
      </c>
      <c r="B10" s="167">
        <f aca="true" t="shared" si="1" ref="B10:V10">SUM(B11:B24)</f>
        <v>1988</v>
      </c>
      <c r="C10" s="165">
        <f t="shared" si="1"/>
        <v>1988</v>
      </c>
      <c r="D10" s="165">
        <f t="shared" si="1"/>
        <v>1674</v>
      </c>
      <c r="E10" s="165">
        <f t="shared" si="1"/>
        <v>502</v>
      </c>
      <c r="F10" s="165">
        <f t="shared" si="1"/>
        <v>0</v>
      </c>
      <c r="G10" s="165">
        <f t="shared" si="1"/>
        <v>0</v>
      </c>
      <c r="H10" s="165">
        <f t="shared" si="1"/>
        <v>1000</v>
      </c>
      <c r="I10" s="29">
        <f t="shared" si="1"/>
        <v>2662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104</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114</v>
      </c>
      <c r="B12" s="168">
        <v>257</v>
      </c>
      <c r="C12" s="169">
        <v>257</v>
      </c>
      <c r="D12" s="169">
        <v>155</v>
      </c>
      <c r="E12" s="170">
        <v>0</v>
      </c>
      <c r="F12" s="170">
        <v>0</v>
      </c>
      <c r="G12" s="170">
        <v>0</v>
      </c>
      <c r="H12" s="171">
        <v>46</v>
      </c>
      <c r="I12" s="38">
        <f aca="true" t="shared" si="2" ref="I12:I24">B12+D12-H12</f>
        <v>366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42</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105</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57</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106</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103</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111</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112</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168</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107</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108</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109</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110</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15</v>
      </c>
      <c r="B25" s="167">
        <f>SUM(B26:B39)</f>
        <v>9883</v>
      </c>
      <c r="C25" s="165">
        <f aca="true" t="shared" si="6" ref="C25:V25">SUM(C26:C39)</f>
        <v>9883</v>
      </c>
      <c r="D25" s="165">
        <f t="shared" si="6"/>
        <v>12214</v>
      </c>
      <c r="E25" s="165">
        <f t="shared" si="6"/>
        <v>1840</v>
      </c>
      <c r="F25" s="165">
        <f t="shared" si="6"/>
        <v>220</v>
      </c>
      <c r="G25" s="165">
        <f t="shared" si="6"/>
        <v>827</v>
      </c>
      <c r="H25" s="165">
        <f t="shared" si="6"/>
        <v>10562</v>
      </c>
      <c r="I25" s="29">
        <f t="shared" si="6"/>
        <v>11535</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65</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1</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143</v>
      </c>
      <c r="B28" s="326">
        <v>1101</v>
      </c>
      <c r="C28" s="327">
        <v>1101</v>
      </c>
      <c r="D28" s="327">
        <v>1904</v>
      </c>
      <c r="E28" s="328">
        <f>1030-140-130</f>
        <v>760</v>
      </c>
      <c r="F28" s="328">
        <v>0</v>
      </c>
      <c r="G28" s="328">
        <v>0</v>
      </c>
      <c r="H28" s="329">
        <f>760+887</f>
        <v>1647</v>
      </c>
      <c r="I28" s="330">
        <f t="shared" si="7"/>
        <v>1358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2</v>
      </c>
      <c r="B29" s="331">
        <v>745</v>
      </c>
      <c r="C29" s="332">
        <v>745</v>
      </c>
      <c r="D29" s="332">
        <v>735</v>
      </c>
      <c r="E29" s="333">
        <v>110</v>
      </c>
      <c r="F29" s="333">
        <v>0</v>
      </c>
      <c r="G29" s="333">
        <v>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96</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98</v>
      </c>
      <c r="B31" s="326">
        <v>172</v>
      </c>
      <c r="C31" s="327">
        <v>172</v>
      </c>
      <c r="D31" s="327">
        <v>724</v>
      </c>
      <c r="E31" s="328">
        <v>430</v>
      </c>
      <c r="F31" s="328">
        <v>0</v>
      </c>
      <c r="G31" s="328">
        <v>0</v>
      </c>
      <c r="H31" s="329">
        <f>430+345</f>
        <v>775</v>
      </c>
      <c r="I31" s="330">
        <f t="shared" si="7"/>
        <v>121</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3</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4</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99</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5</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82</v>
      </c>
      <c r="B36" s="347">
        <v>113</v>
      </c>
      <c r="C36" s="348">
        <v>113</v>
      </c>
      <c r="D36" s="349">
        <v>928</v>
      </c>
      <c r="E36" s="349">
        <v>0</v>
      </c>
      <c r="F36" s="349">
        <v>0</v>
      </c>
      <c r="G36" s="349">
        <v>35</v>
      </c>
      <c r="H36" s="349">
        <f>816+35</f>
        <v>851</v>
      </c>
      <c r="I36" s="351">
        <f t="shared" si="7"/>
        <v>190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100</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31</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32</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17</v>
      </c>
      <c r="B40" s="167">
        <f aca="true" t="shared" si="11" ref="B40:V40">SUM(B41+B42+B43+B44+B45+B46+B53+B54+B55+B56+B57+B58+B59+B60+B61+B62+B63)</f>
        <v>8223</v>
      </c>
      <c r="C40" s="165">
        <f t="shared" si="11"/>
        <v>8149</v>
      </c>
      <c r="D40" s="165">
        <f t="shared" si="11"/>
        <v>23799</v>
      </c>
      <c r="E40" s="165">
        <f t="shared" si="11"/>
        <v>5956</v>
      </c>
      <c r="F40" s="165">
        <f t="shared" si="11"/>
        <v>3220</v>
      </c>
      <c r="G40" s="165">
        <f t="shared" si="11"/>
        <v>3139</v>
      </c>
      <c r="H40" s="192">
        <f t="shared" si="11"/>
        <v>22478</v>
      </c>
      <c r="I40" s="29">
        <f t="shared" si="11"/>
        <v>9544</v>
      </c>
      <c r="J40" s="167">
        <f t="shared" si="11"/>
        <v>8489</v>
      </c>
      <c r="K40" s="165">
        <f t="shared" si="11"/>
        <v>7099</v>
      </c>
      <c r="L40" s="165">
        <f t="shared" si="11"/>
        <v>2701</v>
      </c>
      <c r="M40" s="165">
        <f t="shared" si="11"/>
        <v>8432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115</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22.5">
      <c r="A42" s="57" t="s">
        <v>116</v>
      </c>
      <c r="B42" s="196">
        <v>41</v>
      </c>
      <c r="C42" s="197">
        <v>41</v>
      </c>
      <c r="D42" s="197">
        <v>1493</v>
      </c>
      <c r="E42" s="198">
        <v>400</v>
      </c>
      <c r="F42" s="198">
        <v>0</v>
      </c>
      <c r="G42" s="198">
        <v>200</v>
      </c>
      <c r="H42" s="199">
        <f>527+E42+F42+G42</f>
        <v>1127</v>
      </c>
      <c r="I42" s="47">
        <f>B42+D42-H42</f>
        <v>407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117</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118</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119</v>
      </c>
      <c r="B45" s="196">
        <v>32</v>
      </c>
      <c r="C45" s="197">
        <v>32</v>
      </c>
      <c r="D45" s="197">
        <v>1941</v>
      </c>
      <c r="E45" s="198">
        <v>1164</v>
      </c>
      <c r="F45" s="198">
        <v>0</v>
      </c>
      <c r="G45" s="198">
        <v>484</v>
      </c>
      <c r="H45" s="199">
        <f>185+E45+F45+G45</f>
        <v>1833</v>
      </c>
      <c r="I45" s="47">
        <f>B45+D45-H45</f>
        <v>140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120</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61" t="s">
        <v>144</v>
      </c>
      <c r="B48" s="461"/>
      <c r="C48" s="461"/>
      <c r="D48" s="461"/>
      <c r="E48" s="461"/>
      <c r="F48" s="461"/>
      <c r="G48" s="461"/>
      <c r="H48" s="461"/>
      <c r="I48" s="461"/>
      <c r="J48" s="461"/>
      <c r="K48" s="461"/>
      <c r="L48" s="461"/>
      <c r="M48" s="461"/>
      <c r="N48" s="461"/>
      <c r="O48" s="461"/>
      <c r="P48" s="461"/>
      <c r="Q48" s="461"/>
      <c r="R48" s="461"/>
      <c r="S48" s="461"/>
      <c r="T48" s="461"/>
      <c r="U48" s="461"/>
      <c r="V48" s="461"/>
      <c r="W48" s="16"/>
    </row>
    <row r="49" spans="1:22" ht="12.75">
      <c r="A49" s="3"/>
      <c r="B49" s="4" t="s">
        <v>9</v>
      </c>
      <c r="C49" s="5"/>
      <c r="D49" s="5"/>
      <c r="E49" s="5"/>
      <c r="F49" s="5"/>
      <c r="G49" s="5"/>
      <c r="H49" s="5"/>
      <c r="I49" s="6"/>
      <c r="J49" s="4" t="s">
        <v>10</v>
      </c>
      <c r="K49" s="5"/>
      <c r="L49" s="7"/>
      <c r="M49" s="5"/>
      <c r="N49" s="6"/>
      <c r="O49" s="542" t="s">
        <v>11</v>
      </c>
      <c r="P49" s="543"/>
      <c r="Q49" s="543"/>
      <c r="R49" s="544"/>
      <c r="S49" s="542" t="s">
        <v>12</v>
      </c>
      <c r="T49" s="545"/>
      <c r="U49" s="545"/>
      <c r="V49" s="546"/>
    </row>
    <row r="50" spans="1:23" s="13" customFormat="1" ht="14.25" customHeight="1">
      <c r="A50" s="9" t="s">
        <v>0</v>
      </c>
      <c r="B50" s="525" t="s">
        <v>146</v>
      </c>
      <c r="C50" s="537" t="s">
        <v>147</v>
      </c>
      <c r="D50" s="522" t="s">
        <v>78</v>
      </c>
      <c r="E50" s="10" t="s">
        <v>13</v>
      </c>
      <c r="F50" s="10"/>
      <c r="G50" s="10"/>
      <c r="H50" s="11"/>
      <c r="I50" s="528" t="s">
        <v>148</v>
      </c>
      <c r="J50" s="525" t="s">
        <v>146</v>
      </c>
      <c r="K50" s="537" t="s">
        <v>147</v>
      </c>
      <c r="L50" s="522" t="s">
        <v>80</v>
      </c>
      <c r="M50" s="534" t="s">
        <v>81</v>
      </c>
      <c r="N50" s="528" t="s">
        <v>148</v>
      </c>
      <c r="O50" s="525" t="s">
        <v>149</v>
      </c>
      <c r="P50" s="531" t="s">
        <v>150</v>
      </c>
      <c r="Q50" s="534" t="s">
        <v>81</v>
      </c>
      <c r="R50" s="528" t="s">
        <v>148</v>
      </c>
      <c r="S50" s="525" t="s">
        <v>149</v>
      </c>
      <c r="T50" s="531" t="s">
        <v>150</v>
      </c>
      <c r="U50" s="534" t="s">
        <v>81</v>
      </c>
      <c r="V50" s="528" t="s">
        <v>148</v>
      </c>
      <c r="W50" s="12" t="s">
        <v>16</v>
      </c>
    </row>
    <row r="51" spans="1:22" ht="12.75" customHeight="1">
      <c r="A51" s="14"/>
      <c r="B51" s="526"/>
      <c r="C51" s="538" t="s">
        <v>30</v>
      </c>
      <c r="D51" s="523"/>
      <c r="E51" s="540" t="s">
        <v>87</v>
      </c>
      <c r="F51" s="540" t="s">
        <v>59</v>
      </c>
      <c r="G51" s="540" t="s">
        <v>60</v>
      </c>
      <c r="H51" s="534" t="s">
        <v>79</v>
      </c>
      <c r="I51" s="529"/>
      <c r="J51" s="526"/>
      <c r="K51" s="538" t="s">
        <v>30</v>
      </c>
      <c r="L51" s="523"/>
      <c r="M51" s="535"/>
      <c r="N51" s="529"/>
      <c r="O51" s="526"/>
      <c r="P51" s="532"/>
      <c r="Q51" s="535"/>
      <c r="R51" s="529"/>
      <c r="S51" s="526"/>
      <c r="T51" s="532"/>
      <c r="U51" s="535"/>
      <c r="V51" s="529"/>
    </row>
    <row r="52" spans="1:22" ht="53.25" customHeight="1" thickBot="1">
      <c r="A52" s="15" t="s">
        <v>16</v>
      </c>
      <c r="B52" s="527"/>
      <c r="C52" s="539" t="s">
        <v>58</v>
      </c>
      <c r="D52" s="524"/>
      <c r="E52" s="541"/>
      <c r="F52" s="541"/>
      <c r="G52" s="541"/>
      <c r="H52" s="536"/>
      <c r="I52" s="530"/>
      <c r="J52" s="527"/>
      <c r="K52" s="539" t="s">
        <v>58</v>
      </c>
      <c r="L52" s="524"/>
      <c r="M52" s="536"/>
      <c r="N52" s="530"/>
      <c r="O52" s="527"/>
      <c r="P52" s="533"/>
      <c r="Q52" s="536"/>
      <c r="R52" s="530"/>
      <c r="S52" s="527"/>
      <c r="T52" s="533"/>
      <c r="U52" s="536"/>
      <c r="V52" s="530"/>
    </row>
    <row r="53" spans="1:22" s="40" customFormat="1" ht="24" customHeight="1">
      <c r="A53" s="31" t="s">
        <v>121</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53</v>
      </c>
      <c r="B54" s="168">
        <v>90</v>
      </c>
      <c r="C54" s="169">
        <v>90</v>
      </c>
      <c r="D54" s="169">
        <v>682</v>
      </c>
      <c r="E54" s="170">
        <v>0</v>
      </c>
      <c r="F54" s="170">
        <v>0</v>
      </c>
      <c r="G54" s="170">
        <v>210</v>
      </c>
      <c r="H54" s="171">
        <f>429+E54+F54+G54</f>
        <v>639</v>
      </c>
      <c r="I54" s="38">
        <f>B54+D54-H54</f>
        <v>133</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83</v>
      </c>
      <c r="B55" s="168">
        <v>1489</v>
      </c>
      <c r="C55" s="212">
        <v>1489</v>
      </c>
      <c r="D55" s="212">
        <v>3167</v>
      </c>
      <c r="E55" s="213">
        <v>630</v>
      </c>
      <c r="F55" s="213">
        <v>700</v>
      </c>
      <c r="G55" s="213">
        <v>0</v>
      </c>
      <c r="H55" s="214">
        <f>1552+E55+F55+G55</f>
        <v>2882</v>
      </c>
      <c r="I55" s="34">
        <f>B55+D55-H55</f>
        <v>1774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127</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67</v>
      </c>
      <c r="B57" s="168">
        <v>360</v>
      </c>
      <c r="C57" s="212">
        <v>360</v>
      </c>
      <c r="D57" s="212">
        <v>2536</v>
      </c>
      <c r="E57" s="213">
        <v>350</v>
      </c>
      <c r="F57" s="213">
        <v>1140</v>
      </c>
      <c r="G57" s="213">
        <v>0</v>
      </c>
      <c r="H57" s="214">
        <v>2344</v>
      </c>
      <c r="I57" s="34">
        <f t="shared" si="16"/>
        <v>552</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122</v>
      </c>
      <c r="B58" s="168">
        <v>952</v>
      </c>
      <c r="C58" s="212">
        <v>952</v>
      </c>
      <c r="D58" s="212">
        <v>4417</v>
      </c>
      <c r="E58" s="213">
        <v>363</v>
      </c>
      <c r="F58" s="213">
        <v>260</v>
      </c>
      <c r="G58" s="213">
        <v>2000</v>
      </c>
      <c r="H58" s="214">
        <v>5047</v>
      </c>
      <c r="I58" s="34">
        <f t="shared" si="16"/>
        <v>322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123</v>
      </c>
      <c r="B59" s="168">
        <v>321</v>
      </c>
      <c r="C59" s="212">
        <v>321</v>
      </c>
      <c r="D59" s="212">
        <v>1157</v>
      </c>
      <c r="E59" s="213">
        <v>620</v>
      </c>
      <c r="F59" s="213">
        <v>0</v>
      </c>
      <c r="G59" s="213">
        <v>0</v>
      </c>
      <c r="H59" s="214">
        <v>1228</v>
      </c>
      <c r="I59" s="34">
        <f>B59+D59-H59</f>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124</v>
      </c>
      <c r="B60" s="168">
        <v>1110</v>
      </c>
      <c r="C60" s="212">
        <v>1110</v>
      </c>
      <c r="D60" s="212">
        <v>877</v>
      </c>
      <c r="E60" s="213">
        <v>835</v>
      </c>
      <c r="F60" s="213">
        <v>0</v>
      </c>
      <c r="G60" s="213">
        <v>0</v>
      </c>
      <c r="H60" s="215">
        <f>452+E60+F60+G60</f>
        <v>1287</v>
      </c>
      <c r="I60" s="34">
        <f t="shared" si="16"/>
        <v>700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128</v>
      </c>
      <c r="B61" s="168">
        <v>1267</v>
      </c>
      <c r="C61" s="212">
        <v>1267</v>
      </c>
      <c r="D61" s="212">
        <v>1750</v>
      </c>
      <c r="E61" s="213">
        <v>720</v>
      </c>
      <c r="F61" s="213">
        <v>0</v>
      </c>
      <c r="G61" s="213">
        <v>200</v>
      </c>
      <c r="H61" s="214">
        <v>1400</v>
      </c>
      <c r="I61" s="34">
        <f t="shared" si="16"/>
        <v>1617</v>
      </c>
      <c r="J61" s="168">
        <v>981</v>
      </c>
      <c r="K61" s="169">
        <v>981</v>
      </c>
      <c r="L61" s="169">
        <f>161+50</f>
        <v>211</v>
      </c>
      <c r="M61" s="170">
        <f>161+51+980</f>
        <v>1192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125</v>
      </c>
      <c r="B62" s="168">
        <v>333</v>
      </c>
      <c r="C62" s="212">
        <v>333</v>
      </c>
      <c r="D62" s="212">
        <v>1454</v>
      </c>
      <c r="E62" s="213">
        <v>200</v>
      </c>
      <c r="F62" s="213">
        <v>0</v>
      </c>
      <c r="G62" s="213">
        <v>0</v>
      </c>
      <c r="H62" s="214">
        <f>524+E62+F62+G62</f>
        <v>724</v>
      </c>
      <c r="I62" s="34">
        <f t="shared" si="16"/>
        <v>1063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126</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18</v>
      </c>
      <c r="B64" s="167">
        <f>SUM(B65:B80)</f>
        <v>13290</v>
      </c>
      <c r="C64" s="167">
        <f>SUM(C65:C80)</f>
        <v>13343</v>
      </c>
      <c r="D64" s="165">
        <f aca="true" t="shared" si="20" ref="D64:V64">SUM(D65:D80)</f>
        <v>28121</v>
      </c>
      <c r="E64" s="165">
        <f t="shared" si="20"/>
        <v>10691</v>
      </c>
      <c r="F64" s="165">
        <f t="shared" si="20"/>
        <v>1220</v>
      </c>
      <c r="G64" s="165">
        <f t="shared" si="20"/>
        <v>1612</v>
      </c>
      <c r="H64" s="165">
        <f t="shared" si="20"/>
        <v>24988</v>
      </c>
      <c r="I64" s="29">
        <f t="shared" si="20"/>
        <v>16423</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69</v>
      </c>
      <c r="B65" s="175">
        <v>343</v>
      </c>
      <c r="C65" s="176">
        <v>343</v>
      </c>
      <c r="D65" s="176">
        <v>894</v>
      </c>
      <c r="E65" s="177">
        <v>660</v>
      </c>
      <c r="F65" s="177">
        <v>0</v>
      </c>
      <c r="G65" s="177">
        <v>100</v>
      </c>
      <c r="H65" s="178">
        <f>351+E65+F65+G65</f>
        <v>1111</v>
      </c>
      <c r="I65" s="70">
        <f>B65+D65-H65</f>
        <v>126</v>
      </c>
      <c r="J65" s="175">
        <f>39+85</f>
        <v>124</v>
      </c>
      <c r="K65" s="176">
        <f>39+85</f>
        <v>124</v>
      </c>
      <c r="L65" s="176">
        <v>32</v>
      </c>
      <c r="M65" s="177">
        <v>0</v>
      </c>
      <c r="N65" s="178">
        <f aca="true" t="shared" si="21" ref="N65:N80">J65+L65-M65</f>
        <v>156</v>
      </c>
      <c r="O65" s="175">
        <f>553+125</f>
        <v>678</v>
      </c>
      <c r="P65" s="176">
        <f>462+125</f>
        <v>587</v>
      </c>
      <c r="Q65" s="177">
        <v>520</v>
      </c>
      <c r="R65" s="70">
        <f aca="true" t="shared" si="22" ref="R65:R80">O65-Q65</f>
        <v>158</v>
      </c>
      <c r="S65" s="175">
        <f>8+120</f>
        <v>128</v>
      </c>
      <c r="T65" s="177">
        <f>8+120</f>
        <v>128</v>
      </c>
      <c r="U65" s="177">
        <v>0</v>
      </c>
      <c r="V65" s="70">
        <f aca="true" t="shared" si="23" ref="V65:V80">S65-U65</f>
        <v>128</v>
      </c>
      <c r="Y65" s="219" t="s">
        <v>16</v>
      </c>
    </row>
    <row r="66" spans="1:22" s="40" customFormat="1" ht="12.75">
      <c r="A66" s="141" t="s">
        <v>84</v>
      </c>
      <c r="B66" s="168">
        <v>40</v>
      </c>
      <c r="C66" s="169">
        <v>93</v>
      </c>
      <c r="D66" s="169">
        <v>2075</v>
      </c>
      <c r="E66" s="170">
        <v>590</v>
      </c>
      <c r="F66" s="170">
        <v>0</v>
      </c>
      <c r="G66" s="170">
        <v>550</v>
      </c>
      <c r="H66" s="171">
        <f>969+E66+F66+G66</f>
        <v>2109</v>
      </c>
      <c r="I66" s="38">
        <f aca="true" t="shared" si="24" ref="I66:I80">B66+D66-H66</f>
        <v>6</v>
      </c>
      <c r="J66" s="168">
        <f>777+19</f>
        <v>796</v>
      </c>
      <c r="K66" s="169">
        <f>777+19</f>
        <v>796</v>
      </c>
      <c r="L66" s="169">
        <v>151</v>
      </c>
      <c r="M66" s="170">
        <f>500+19</f>
        <v>519</v>
      </c>
      <c r="N66" s="171">
        <f t="shared" si="21"/>
        <v>428</v>
      </c>
      <c r="O66" s="168">
        <f>89+225</f>
        <v>314</v>
      </c>
      <c r="P66" s="169">
        <f>225+51</f>
        <v>276</v>
      </c>
      <c r="Q66" s="170">
        <v>256</v>
      </c>
      <c r="R66" s="38">
        <f t="shared" si="22"/>
        <v>58</v>
      </c>
      <c r="S66" s="168">
        <f>594+150</f>
        <v>744</v>
      </c>
      <c r="T66" s="170">
        <f>150+594</f>
        <v>744</v>
      </c>
      <c r="U66" s="170">
        <v>400</v>
      </c>
      <c r="V66" s="38">
        <f t="shared" si="23"/>
        <v>344</v>
      </c>
    </row>
    <row r="67" spans="1:22" s="40" customFormat="1" ht="12.75">
      <c r="A67" s="31" t="s">
        <v>132</v>
      </c>
      <c r="B67" s="168">
        <v>1092</v>
      </c>
      <c r="C67" s="169">
        <v>1092</v>
      </c>
      <c r="D67" s="169">
        <v>2260</v>
      </c>
      <c r="E67" s="170">
        <v>380</v>
      </c>
      <c r="F67" s="170">
        <v>220</v>
      </c>
      <c r="G67" s="170">
        <v>150</v>
      </c>
      <c r="H67" s="171">
        <f>960+E67+F67+G67</f>
        <v>1710</v>
      </c>
      <c r="I67" s="38">
        <f t="shared" si="24"/>
        <v>1642</v>
      </c>
      <c r="J67" s="168">
        <f>328+329</f>
        <v>657</v>
      </c>
      <c r="K67" s="169">
        <f>328+329</f>
        <v>657</v>
      </c>
      <c r="L67" s="169">
        <f>24+50</f>
        <v>74</v>
      </c>
      <c r="M67" s="170">
        <v>50</v>
      </c>
      <c r="N67" s="171">
        <f t="shared" si="21"/>
        <v>681</v>
      </c>
      <c r="O67" s="168">
        <f>162+260</f>
        <v>422</v>
      </c>
      <c r="P67" s="169">
        <f>260+50</f>
        <v>310</v>
      </c>
      <c r="Q67" s="170">
        <v>300</v>
      </c>
      <c r="R67" s="38">
        <f t="shared" si="22"/>
        <v>122</v>
      </c>
      <c r="S67" s="168">
        <f>199+10</f>
        <v>209</v>
      </c>
      <c r="T67" s="169">
        <f>10+199</f>
        <v>209</v>
      </c>
      <c r="U67" s="170">
        <v>0</v>
      </c>
      <c r="V67" s="38">
        <f t="shared" si="23"/>
        <v>209</v>
      </c>
    </row>
    <row r="68" spans="1:22" s="40" customFormat="1" ht="12.75">
      <c r="A68" s="141" t="s">
        <v>34</v>
      </c>
      <c r="B68" s="168">
        <v>813</v>
      </c>
      <c r="C68" s="169">
        <v>813</v>
      </c>
      <c r="D68" s="169">
        <v>1453</v>
      </c>
      <c r="E68" s="170">
        <v>300</v>
      </c>
      <c r="F68" s="170">
        <v>0</v>
      </c>
      <c r="G68" s="170">
        <v>210</v>
      </c>
      <c r="H68" s="171">
        <f>753+E68+F68+G68</f>
        <v>1263</v>
      </c>
      <c r="I68" s="38">
        <f t="shared" si="24"/>
        <v>1003</v>
      </c>
      <c r="J68" s="168">
        <v>1047</v>
      </c>
      <c r="K68" s="169">
        <v>1047</v>
      </c>
      <c r="L68" s="169">
        <v>309</v>
      </c>
      <c r="M68" s="170">
        <v>0</v>
      </c>
      <c r="N68" s="171">
        <f t="shared" si="21"/>
        <v>1356</v>
      </c>
      <c r="O68" s="168">
        <f>521+290</f>
        <v>811</v>
      </c>
      <c r="P68" s="169">
        <f>290+471</f>
        <v>761</v>
      </c>
      <c r="Q68" s="170">
        <v>710</v>
      </c>
      <c r="R68" s="38">
        <f t="shared" si="22"/>
        <v>101</v>
      </c>
      <c r="S68" s="168">
        <f>1116+100</f>
        <v>1216</v>
      </c>
      <c r="T68" s="170">
        <f>100+1116</f>
        <v>1216</v>
      </c>
      <c r="U68" s="170">
        <v>0</v>
      </c>
      <c r="V68" s="38">
        <f t="shared" si="23"/>
        <v>1216</v>
      </c>
    </row>
    <row r="69" spans="1:22" s="40" customFormat="1" ht="12.75">
      <c r="A69" s="220" t="s">
        <v>88</v>
      </c>
      <c r="B69" s="221">
        <v>410</v>
      </c>
      <c r="C69" s="222">
        <v>410</v>
      </c>
      <c r="D69" s="222">
        <v>672</v>
      </c>
      <c r="E69" s="223">
        <v>500</v>
      </c>
      <c r="F69" s="223">
        <v>0</v>
      </c>
      <c r="G69" s="223">
        <v>0</v>
      </c>
      <c r="H69" s="224">
        <f>394+E69+F69+G69</f>
        <v>894</v>
      </c>
      <c r="I69" s="90">
        <f t="shared" si="24"/>
        <v>188</v>
      </c>
      <c r="J69" s="168">
        <f>32+115</f>
        <v>147</v>
      </c>
      <c r="K69" s="222">
        <f>54+115</f>
        <v>169</v>
      </c>
      <c r="L69" s="169">
        <v>22</v>
      </c>
      <c r="M69" s="170">
        <v>0</v>
      </c>
      <c r="N69" s="171">
        <f t="shared" si="21"/>
        <v>169</v>
      </c>
      <c r="O69" s="168">
        <f>461+150</f>
        <v>611</v>
      </c>
      <c r="P69" s="222">
        <f>150+461</f>
        <v>611</v>
      </c>
      <c r="Q69" s="170">
        <v>140</v>
      </c>
      <c r="R69" s="38">
        <f t="shared" si="22"/>
        <v>471</v>
      </c>
      <c r="S69" s="168">
        <f>61</f>
        <v>61</v>
      </c>
      <c r="T69" s="223">
        <v>61</v>
      </c>
      <c r="U69" s="170">
        <v>0</v>
      </c>
      <c r="V69" s="38">
        <f t="shared" si="23"/>
        <v>61</v>
      </c>
    </row>
    <row r="70" spans="1:22" s="40" customFormat="1" ht="12.75">
      <c r="A70" s="141" t="s">
        <v>89</v>
      </c>
      <c r="B70" s="168">
        <v>1944</v>
      </c>
      <c r="C70" s="169">
        <v>1944</v>
      </c>
      <c r="D70" s="169">
        <v>2333</v>
      </c>
      <c r="E70" s="170">
        <v>0</v>
      </c>
      <c r="F70" s="170">
        <v>0</v>
      </c>
      <c r="G70" s="170">
        <v>0</v>
      </c>
      <c r="H70" s="171">
        <v>1844</v>
      </c>
      <c r="I70" s="38">
        <f t="shared" si="24"/>
        <v>2433</v>
      </c>
      <c r="J70" s="168">
        <f>508+4860</f>
        <v>5368</v>
      </c>
      <c r="K70" s="169">
        <f>508+4860</f>
        <v>5368</v>
      </c>
      <c r="L70" s="169">
        <v>500</v>
      </c>
      <c r="M70" s="223">
        <f>500+4860</f>
        <v>5360</v>
      </c>
      <c r="N70" s="171">
        <f t="shared" si="21"/>
        <v>508</v>
      </c>
      <c r="O70" s="168">
        <f>1007+390</f>
        <v>1397</v>
      </c>
      <c r="P70" s="169">
        <f>390+968</f>
        <v>1358</v>
      </c>
      <c r="Q70" s="170">
        <v>900</v>
      </c>
      <c r="R70" s="38">
        <f t="shared" si="22"/>
        <v>497</v>
      </c>
      <c r="S70" s="168">
        <f>631+43</f>
        <v>674</v>
      </c>
      <c r="T70" s="170">
        <f>631+43</f>
        <v>674</v>
      </c>
      <c r="U70" s="170">
        <v>0</v>
      </c>
      <c r="V70" s="38">
        <f t="shared" si="23"/>
        <v>674</v>
      </c>
    </row>
    <row r="71" spans="1:22" s="40" customFormat="1" ht="12.75">
      <c r="A71" s="141" t="s">
        <v>35</v>
      </c>
      <c r="B71" s="168">
        <v>267</v>
      </c>
      <c r="C71" s="169">
        <v>267</v>
      </c>
      <c r="D71" s="169">
        <v>1065</v>
      </c>
      <c r="E71" s="170">
        <v>0</v>
      </c>
      <c r="F71" s="170">
        <v>0</v>
      </c>
      <c r="G71" s="170">
        <v>0</v>
      </c>
      <c r="H71" s="171">
        <f>336+F71</f>
        <v>336</v>
      </c>
      <c r="I71" s="38">
        <f t="shared" si="24"/>
        <v>996</v>
      </c>
      <c r="J71" s="168">
        <f>33+26</f>
        <v>59</v>
      </c>
      <c r="K71" s="169">
        <f>33+26</f>
        <v>59</v>
      </c>
      <c r="L71" s="169">
        <f>46+10</f>
        <v>56</v>
      </c>
      <c r="M71" s="170">
        <v>0</v>
      </c>
      <c r="N71" s="171">
        <f t="shared" si="21"/>
        <v>115</v>
      </c>
      <c r="O71" s="168">
        <f>716+220</f>
        <v>936</v>
      </c>
      <c r="P71" s="169">
        <f>220+716</f>
        <v>936</v>
      </c>
      <c r="Q71" s="170">
        <v>400</v>
      </c>
      <c r="R71" s="38">
        <f t="shared" si="22"/>
        <v>536</v>
      </c>
      <c r="S71" s="168">
        <f>306+33</f>
        <v>339</v>
      </c>
      <c r="T71" s="170">
        <f>33+306</f>
        <v>339</v>
      </c>
      <c r="U71" s="170">
        <v>0</v>
      </c>
      <c r="V71" s="38">
        <f t="shared" si="23"/>
        <v>339</v>
      </c>
    </row>
    <row r="72" spans="1:22" s="40" customFormat="1" ht="12.75">
      <c r="A72" s="141" t="s">
        <v>36</v>
      </c>
      <c r="B72" s="168">
        <v>190</v>
      </c>
      <c r="C72" s="169">
        <v>190</v>
      </c>
      <c r="D72" s="169">
        <v>1486</v>
      </c>
      <c r="E72" s="170">
        <v>800</v>
      </c>
      <c r="F72" s="170">
        <v>0</v>
      </c>
      <c r="G72" s="170">
        <v>0</v>
      </c>
      <c r="H72" s="171">
        <f>773+E72+F72+G72</f>
        <v>1573</v>
      </c>
      <c r="I72" s="38">
        <f t="shared" si="24"/>
        <v>103</v>
      </c>
      <c r="J72" s="168">
        <f>49+254</f>
        <v>303</v>
      </c>
      <c r="K72" s="169">
        <f>49+254</f>
        <v>303</v>
      </c>
      <c r="L72" s="169">
        <f>296+10</f>
        <v>306</v>
      </c>
      <c r="M72" s="170">
        <f>50+260</f>
        <v>310</v>
      </c>
      <c r="N72" s="171">
        <f t="shared" si="21"/>
        <v>299</v>
      </c>
      <c r="O72" s="168">
        <f>46+250</f>
        <v>296</v>
      </c>
      <c r="P72" s="169">
        <f>56+250</f>
        <v>306</v>
      </c>
      <c r="Q72" s="170">
        <v>274</v>
      </c>
      <c r="R72" s="38">
        <f t="shared" si="22"/>
        <v>22</v>
      </c>
      <c r="S72" s="168">
        <f>161</f>
        <v>161</v>
      </c>
      <c r="T72" s="170">
        <v>161</v>
      </c>
      <c r="U72" s="170">
        <v>50</v>
      </c>
      <c r="V72" s="38">
        <f t="shared" si="23"/>
        <v>111</v>
      </c>
    </row>
    <row r="73" spans="1:22" s="40" customFormat="1" ht="12.75">
      <c r="A73" s="141" t="s">
        <v>37</v>
      </c>
      <c r="B73" s="168">
        <v>1273</v>
      </c>
      <c r="C73" s="169">
        <v>1273</v>
      </c>
      <c r="D73" s="169">
        <v>2960</v>
      </c>
      <c r="E73" s="170">
        <v>600</v>
      </c>
      <c r="F73" s="170">
        <v>1000</v>
      </c>
      <c r="G73" s="170">
        <v>0</v>
      </c>
      <c r="H73" s="171">
        <f>984+E73+F73+G73</f>
        <v>2584</v>
      </c>
      <c r="I73" s="38">
        <f t="shared" si="24"/>
        <v>1649</v>
      </c>
      <c r="J73" s="168">
        <f>664+29</f>
        <v>693</v>
      </c>
      <c r="K73" s="169">
        <f>664+29</f>
        <v>693</v>
      </c>
      <c r="L73" s="169">
        <f>255+5</f>
        <v>260</v>
      </c>
      <c r="M73" s="170">
        <f>150+5</f>
        <v>155</v>
      </c>
      <c r="N73" s="171">
        <f t="shared" si="21"/>
        <v>798</v>
      </c>
      <c r="O73" s="168">
        <f>562+230</f>
        <v>792</v>
      </c>
      <c r="P73" s="169">
        <f>230+554</f>
        <v>784</v>
      </c>
      <c r="Q73" s="170">
        <v>370</v>
      </c>
      <c r="R73" s="38">
        <f t="shared" si="22"/>
        <v>422</v>
      </c>
      <c r="S73" s="168">
        <f>233+100</f>
        <v>333</v>
      </c>
      <c r="T73" s="170">
        <f>100+233</f>
        <v>333</v>
      </c>
      <c r="U73" s="170">
        <v>100</v>
      </c>
      <c r="V73" s="38">
        <f t="shared" si="23"/>
        <v>233</v>
      </c>
    </row>
    <row r="74" spans="1:22" s="40" customFormat="1" ht="12.75">
      <c r="A74" s="141" t="s">
        <v>90</v>
      </c>
      <c r="B74" s="168">
        <v>1257</v>
      </c>
      <c r="C74" s="169">
        <v>1257</v>
      </c>
      <c r="D74" s="169">
        <v>1296</v>
      </c>
      <c r="E74" s="170">
        <v>0</v>
      </c>
      <c r="F74" s="170">
        <v>0</v>
      </c>
      <c r="G74" s="170">
        <v>0</v>
      </c>
      <c r="H74" s="171">
        <f>522+E74+F74+G74</f>
        <v>522</v>
      </c>
      <c r="I74" s="38">
        <f t="shared" si="24"/>
        <v>2031</v>
      </c>
      <c r="J74" s="168">
        <f>2468</f>
        <v>2468</v>
      </c>
      <c r="K74" s="169">
        <v>2468</v>
      </c>
      <c r="L74" s="169">
        <v>196</v>
      </c>
      <c r="M74" s="170">
        <v>500</v>
      </c>
      <c r="N74" s="171">
        <f t="shared" si="21"/>
        <v>2164</v>
      </c>
      <c r="O74" s="168">
        <f>254+105</f>
        <v>359</v>
      </c>
      <c r="P74" s="169">
        <f>105+244</f>
        <v>349</v>
      </c>
      <c r="Q74" s="170">
        <v>215</v>
      </c>
      <c r="R74" s="38">
        <f t="shared" si="22"/>
        <v>144</v>
      </c>
      <c r="S74" s="168">
        <f>783+191</f>
        <v>974</v>
      </c>
      <c r="T74" s="170">
        <f>783+191</f>
        <v>974</v>
      </c>
      <c r="U74" s="170">
        <v>700</v>
      </c>
      <c r="V74" s="38">
        <f t="shared" si="23"/>
        <v>274</v>
      </c>
    </row>
    <row r="75" spans="1:22" s="92" customFormat="1" ht="12.75">
      <c r="A75" s="359" t="s">
        <v>38</v>
      </c>
      <c r="B75" s="231">
        <v>700</v>
      </c>
      <c r="C75" s="194">
        <v>700</v>
      </c>
      <c r="D75" s="194">
        <f>956</f>
        <v>956</v>
      </c>
      <c r="E75" s="195">
        <v>0</v>
      </c>
      <c r="F75" s="195">
        <v>0</v>
      </c>
      <c r="G75" s="195">
        <v>202</v>
      </c>
      <c r="H75" s="232">
        <f>526+E75+F75+G75</f>
        <v>728</v>
      </c>
      <c r="I75" s="233">
        <f t="shared" si="24"/>
        <v>928</v>
      </c>
      <c r="J75" s="231">
        <f>41+8</f>
        <v>49</v>
      </c>
      <c r="K75" s="194">
        <f>41+8</f>
        <v>49</v>
      </c>
      <c r="L75" s="194">
        <v>73</v>
      </c>
      <c r="M75" s="195">
        <v>100</v>
      </c>
      <c r="N75" s="232">
        <f t="shared" si="21"/>
        <v>22</v>
      </c>
      <c r="O75" s="231">
        <f>250+343</f>
        <v>593</v>
      </c>
      <c r="P75" s="194">
        <f>250+343</f>
        <v>593</v>
      </c>
      <c r="Q75" s="195">
        <v>400</v>
      </c>
      <c r="R75" s="233">
        <f t="shared" si="22"/>
        <v>193</v>
      </c>
      <c r="S75" s="231">
        <v>3</v>
      </c>
      <c r="T75" s="195">
        <v>3</v>
      </c>
      <c r="U75" s="195">
        <v>0</v>
      </c>
      <c r="V75" s="233">
        <f t="shared" si="23"/>
        <v>3</v>
      </c>
    </row>
    <row r="76" spans="1:23" s="40" customFormat="1" ht="12.75">
      <c r="A76" s="187" t="s">
        <v>91</v>
      </c>
      <c r="B76" s="188">
        <v>852</v>
      </c>
      <c r="C76" s="189">
        <v>852</v>
      </c>
      <c r="D76" s="189">
        <v>5269</v>
      </c>
      <c r="E76" s="190">
        <f>4011-100</f>
        <v>3911</v>
      </c>
      <c r="F76" s="190">
        <v>0</v>
      </c>
      <c r="G76" s="190">
        <v>0</v>
      </c>
      <c r="H76" s="191">
        <f>904+E76+F76+G76</f>
        <v>4815</v>
      </c>
      <c r="I76" s="71">
        <f t="shared" si="24"/>
        <v>1306</v>
      </c>
      <c r="J76" s="188">
        <v>568</v>
      </c>
      <c r="K76" s="189">
        <v>568</v>
      </c>
      <c r="L76" s="189">
        <v>116</v>
      </c>
      <c r="M76" s="190">
        <v>0</v>
      </c>
      <c r="N76" s="191">
        <f t="shared" si="21"/>
        <v>684</v>
      </c>
      <c r="O76" s="188">
        <f>220+174</f>
        <v>394</v>
      </c>
      <c r="P76" s="189">
        <f>220+174</f>
        <v>394</v>
      </c>
      <c r="Q76" s="190">
        <v>394</v>
      </c>
      <c r="R76" s="71">
        <f t="shared" si="22"/>
        <v>0</v>
      </c>
      <c r="S76" s="188">
        <f>29+193</f>
        <v>222</v>
      </c>
      <c r="T76" s="190">
        <f>29+193</f>
        <v>222</v>
      </c>
      <c r="U76" s="190">
        <v>19</v>
      </c>
      <c r="V76" s="71">
        <f t="shared" si="23"/>
        <v>203</v>
      </c>
      <c r="W76" s="174"/>
    </row>
    <row r="77" spans="1:22" s="40" customFormat="1" ht="12.75">
      <c r="A77" s="187" t="s">
        <v>39</v>
      </c>
      <c r="B77" s="188">
        <v>124</v>
      </c>
      <c r="C77" s="189">
        <v>124</v>
      </c>
      <c r="D77" s="194">
        <f>1335+159</f>
        <v>1494</v>
      </c>
      <c r="E77" s="190">
        <v>310</v>
      </c>
      <c r="F77" s="190">
        <v>0</v>
      </c>
      <c r="G77" s="190">
        <v>0</v>
      </c>
      <c r="H77" s="191">
        <f>625+E77+F77+G77</f>
        <v>935</v>
      </c>
      <c r="I77" s="71">
        <f t="shared" si="24"/>
        <v>683</v>
      </c>
      <c r="J77" s="188">
        <f>4+430</f>
        <v>434</v>
      </c>
      <c r="K77" s="189">
        <f>4+430</f>
        <v>434</v>
      </c>
      <c r="L77" s="189">
        <v>183</v>
      </c>
      <c r="M77" s="190">
        <f>150+430</f>
        <v>580</v>
      </c>
      <c r="N77" s="191">
        <f t="shared" si="21"/>
        <v>37</v>
      </c>
      <c r="O77" s="188">
        <f>75+195</f>
        <v>270</v>
      </c>
      <c r="P77" s="189">
        <f>195+75</f>
        <v>270</v>
      </c>
      <c r="Q77" s="190">
        <v>270</v>
      </c>
      <c r="R77" s="71">
        <f t="shared" si="22"/>
        <v>0</v>
      </c>
      <c r="S77" s="188">
        <v>5</v>
      </c>
      <c r="T77" s="190">
        <v>0</v>
      </c>
      <c r="U77" s="190">
        <v>0</v>
      </c>
      <c r="V77" s="71">
        <f t="shared" si="23"/>
        <v>5</v>
      </c>
    </row>
    <row r="78" spans="1:22" s="40" customFormat="1" ht="12.75">
      <c r="A78" s="187" t="s">
        <v>40</v>
      </c>
      <c r="B78" s="188">
        <v>2025</v>
      </c>
      <c r="C78" s="189">
        <v>2025</v>
      </c>
      <c r="D78" s="189">
        <v>1447</v>
      </c>
      <c r="E78" s="190">
        <v>760</v>
      </c>
      <c r="F78" s="190">
        <v>0</v>
      </c>
      <c r="G78" s="190">
        <v>0</v>
      </c>
      <c r="H78" s="191">
        <f>674+E78+F78+G78</f>
        <v>1434</v>
      </c>
      <c r="I78" s="71">
        <f t="shared" si="24"/>
        <v>2038</v>
      </c>
      <c r="J78" s="188">
        <v>0</v>
      </c>
      <c r="K78" s="189">
        <v>0</v>
      </c>
      <c r="L78" s="189">
        <v>71</v>
      </c>
      <c r="M78" s="190">
        <v>40</v>
      </c>
      <c r="N78" s="191">
        <f t="shared" si="21"/>
        <v>31</v>
      </c>
      <c r="O78" s="188">
        <f>180+667</f>
        <v>847</v>
      </c>
      <c r="P78" s="189">
        <f>180+505</f>
        <v>685</v>
      </c>
      <c r="Q78" s="190">
        <v>830</v>
      </c>
      <c r="R78" s="71">
        <f t="shared" si="22"/>
        <v>17</v>
      </c>
      <c r="S78" s="188">
        <v>256</v>
      </c>
      <c r="T78" s="190">
        <v>256</v>
      </c>
      <c r="U78" s="190">
        <v>0</v>
      </c>
      <c r="V78" s="71">
        <f t="shared" si="23"/>
        <v>256</v>
      </c>
    </row>
    <row r="79" spans="1:22" s="40" customFormat="1" ht="12.75">
      <c r="A79" s="187" t="s">
        <v>92</v>
      </c>
      <c r="B79" s="188">
        <v>1636</v>
      </c>
      <c r="C79" s="189">
        <v>1636</v>
      </c>
      <c r="D79" s="189">
        <v>1745</v>
      </c>
      <c r="E79" s="190">
        <v>1615</v>
      </c>
      <c r="F79" s="190">
        <v>0</v>
      </c>
      <c r="G79" s="190">
        <v>400</v>
      </c>
      <c r="H79" s="191">
        <f>434+E79+F79+G79</f>
        <v>2449</v>
      </c>
      <c r="I79" s="71">
        <f t="shared" si="24"/>
        <v>932</v>
      </c>
      <c r="J79" s="188">
        <v>639</v>
      </c>
      <c r="K79" s="189">
        <v>639</v>
      </c>
      <c r="L79" s="189">
        <v>112</v>
      </c>
      <c r="M79" s="190">
        <v>606</v>
      </c>
      <c r="N79" s="191">
        <f t="shared" si="21"/>
        <v>145</v>
      </c>
      <c r="O79" s="188">
        <f>190+444</f>
        <v>634</v>
      </c>
      <c r="P79" s="189">
        <f>190+425</f>
        <v>615</v>
      </c>
      <c r="Q79" s="190">
        <v>455</v>
      </c>
      <c r="R79" s="71">
        <f t="shared" si="22"/>
        <v>179</v>
      </c>
      <c r="S79" s="188">
        <v>399</v>
      </c>
      <c r="T79" s="190">
        <v>399</v>
      </c>
      <c r="U79" s="190">
        <v>350</v>
      </c>
      <c r="V79" s="71">
        <f t="shared" si="23"/>
        <v>49</v>
      </c>
    </row>
    <row r="80" spans="1:22" s="40" customFormat="1" ht="13.5" thickBot="1">
      <c r="A80" s="187" t="s">
        <v>93</v>
      </c>
      <c r="B80" s="188">
        <v>324</v>
      </c>
      <c r="C80" s="189">
        <v>324</v>
      </c>
      <c r="D80" s="189">
        <v>716</v>
      </c>
      <c r="E80" s="190">
        <f>130+135</f>
        <v>265</v>
      </c>
      <c r="F80" s="190">
        <v>0</v>
      </c>
      <c r="G80" s="190">
        <v>0</v>
      </c>
      <c r="H80" s="191">
        <f>416+E80+F80+G80</f>
        <v>681</v>
      </c>
      <c r="I80" s="71">
        <f t="shared" si="24"/>
        <v>359</v>
      </c>
      <c r="J80" s="188">
        <v>212</v>
      </c>
      <c r="K80" s="189">
        <v>212</v>
      </c>
      <c r="L80" s="189">
        <v>415</v>
      </c>
      <c r="M80" s="190">
        <v>627</v>
      </c>
      <c r="N80" s="191">
        <f t="shared" si="21"/>
        <v>0</v>
      </c>
      <c r="O80" s="188">
        <f>110+234</f>
        <v>344</v>
      </c>
      <c r="P80" s="189">
        <f>110+170</f>
        <v>280</v>
      </c>
      <c r="Q80" s="190">
        <v>270</v>
      </c>
      <c r="R80" s="71">
        <f t="shared" si="22"/>
        <v>74</v>
      </c>
      <c r="S80" s="188">
        <v>3</v>
      </c>
      <c r="T80" s="190">
        <v>3</v>
      </c>
      <c r="U80" s="190">
        <v>0</v>
      </c>
      <c r="V80" s="71">
        <f t="shared" si="23"/>
        <v>3</v>
      </c>
    </row>
    <row r="81" spans="1:256" s="235" customFormat="1" ht="13.5" thickBot="1">
      <c r="A81" s="166" t="s">
        <v>41</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54</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19</v>
      </c>
      <c r="B83" s="242">
        <f>SUM(B84)</f>
        <v>9294</v>
      </c>
      <c r="C83" s="243">
        <f aca="true" t="shared" si="26" ref="C83:V83">SUM(C84)</f>
        <v>1000</v>
      </c>
      <c r="D83" s="243">
        <f t="shared" si="26"/>
        <v>4450</v>
      </c>
      <c r="E83" s="243">
        <f t="shared" si="26"/>
        <v>9180</v>
      </c>
      <c r="F83" s="243">
        <f t="shared" si="26"/>
        <v>0</v>
      </c>
      <c r="G83" s="243">
        <f t="shared" si="26"/>
        <v>0</v>
      </c>
      <c r="H83" s="243">
        <f t="shared" si="26"/>
        <v>9180</v>
      </c>
      <c r="I83" s="102">
        <f t="shared" si="26"/>
        <v>4564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71</v>
      </c>
      <c r="B84" s="355">
        <v>9294</v>
      </c>
      <c r="C84" s="342">
        <v>1000</v>
      </c>
      <c r="D84" s="342">
        <v>4450</v>
      </c>
      <c r="E84" s="343">
        <v>9180</v>
      </c>
      <c r="F84" s="343">
        <v>0</v>
      </c>
      <c r="G84" s="343">
        <v>0</v>
      </c>
      <c r="H84" s="345">
        <v>9180</v>
      </c>
      <c r="I84" s="344">
        <f>B84+D84-H84</f>
        <v>4564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20</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133</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21</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22</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23</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33</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61" t="s">
        <v>144</v>
      </c>
      <c r="B91" s="461"/>
      <c r="C91" s="461"/>
      <c r="D91" s="461"/>
      <c r="E91" s="461"/>
      <c r="F91" s="461"/>
      <c r="G91" s="461"/>
      <c r="H91" s="461"/>
      <c r="I91" s="461"/>
      <c r="J91" s="461"/>
      <c r="K91" s="461"/>
      <c r="L91" s="461"/>
      <c r="M91" s="461"/>
      <c r="N91" s="461"/>
      <c r="O91" s="461"/>
      <c r="P91" s="461"/>
      <c r="Q91" s="461"/>
      <c r="R91" s="461"/>
      <c r="S91" s="461"/>
      <c r="T91" s="461"/>
      <c r="U91" s="461"/>
      <c r="V91" s="461"/>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9</v>
      </c>
      <c r="C92" s="5"/>
      <c r="D92" s="5"/>
      <c r="E92" s="5"/>
      <c r="F92" s="5"/>
      <c r="G92" s="5"/>
      <c r="H92" s="5"/>
      <c r="I92" s="6"/>
      <c r="J92" s="4" t="s">
        <v>10</v>
      </c>
      <c r="K92" s="5"/>
      <c r="L92" s="7"/>
      <c r="M92" s="5"/>
      <c r="N92" s="6"/>
      <c r="O92" s="542" t="s">
        <v>11</v>
      </c>
      <c r="P92" s="543"/>
      <c r="Q92" s="543"/>
      <c r="R92" s="544"/>
      <c r="S92" s="542" t="s">
        <v>12</v>
      </c>
      <c r="T92" s="545"/>
      <c r="U92" s="545"/>
      <c r="V92" s="546"/>
    </row>
    <row r="93" spans="1:23" s="13" customFormat="1" ht="14.25" customHeight="1">
      <c r="A93" s="9" t="s">
        <v>0</v>
      </c>
      <c r="B93" s="525" t="s">
        <v>146</v>
      </c>
      <c r="C93" s="537" t="s">
        <v>147</v>
      </c>
      <c r="D93" s="522" t="s">
        <v>78</v>
      </c>
      <c r="E93" s="10" t="s">
        <v>13</v>
      </c>
      <c r="F93" s="10"/>
      <c r="G93" s="10"/>
      <c r="H93" s="11"/>
      <c r="I93" s="528" t="s">
        <v>148</v>
      </c>
      <c r="J93" s="525" t="s">
        <v>146</v>
      </c>
      <c r="K93" s="537" t="s">
        <v>147</v>
      </c>
      <c r="L93" s="522" t="s">
        <v>80</v>
      </c>
      <c r="M93" s="534" t="s">
        <v>81</v>
      </c>
      <c r="N93" s="528" t="s">
        <v>148</v>
      </c>
      <c r="O93" s="525" t="s">
        <v>149</v>
      </c>
      <c r="P93" s="531" t="s">
        <v>150</v>
      </c>
      <c r="Q93" s="534" t="s">
        <v>81</v>
      </c>
      <c r="R93" s="528" t="s">
        <v>148</v>
      </c>
      <c r="S93" s="525" t="s">
        <v>149</v>
      </c>
      <c r="T93" s="531" t="s">
        <v>150</v>
      </c>
      <c r="U93" s="534" t="s">
        <v>81</v>
      </c>
      <c r="V93" s="528" t="s">
        <v>148</v>
      </c>
      <c r="W93" s="12" t="s">
        <v>16</v>
      </c>
    </row>
    <row r="94" spans="1:22" ht="12.75" customHeight="1">
      <c r="A94" s="14"/>
      <c r="B94" s="526"/>
      <c r="C94" s="538" t="s">
        <v>30</v>
      </c>
      <c r="D94" s="523"/>
      <c r="E94" s="540" t="s">
        <v>87</v>
      </c>
      <c r="F94" s="540" t="s">
        <v>59</v>
      </c>
      <c r="G94" s="540" t="s">
        <v>60</v>
      </c>
      <c r="H94" s="534" t="s">
        <v>79</v>
      </c>
      <c r="I94" s="529"/>
      <c r="J94" s="526"/>
      <c r="K94" s="538" t="s">
        <v>30</v>
      </c>
      <c r="L94" s="523"/>
      <c r="M94" s="535"/>
      <c r="N94" s="529"/>
      <c r="O94" s="526"/>
      <c r="P94" s="532"/>
      <c r="Q94" s="535"/>
      <c r="R94" s="529"/>
      <c r="S94" s="526"/>
      <c r="T94" s="532"/>
      <c r="U94" s="535"/>
      <c r="V94" s="529"/>
    </row>
    <row r="95" spans="1:22" ht="53.25" customHeight="1" thickBot="1">
      <c r="A95" s="15" t="s">
        <v>16</v>
      </c>
      <c r="B95" s="527"/>
      <c r="C95" s="539" t="s">
        <v>58</v>
      </c>
      <c r="D95" s="524"/>
      <c r="E95" s="541"/>
      <c r="F95" s="541"/>
      <c r="G95" s="541"/>
      <c r="H95" s="536"/>
      <c r="I95" s="530"/>
      <c r="J95" s="527"/>
      <c r="K95" s="539" t="s">
        <v>58</v>
      </c>
      <c r="L95" s="524"/>
      <c r="M95" s="536"/>
      <c r="N95" s="530"/>
      <c r="O95" s="527"/>
      <c r="P95" s="533"/>
      <c r="Q95" s="536"/>
      <c r="R95" s="530"/>
      <c r="S95" s="527"/>
      <c r="T95" s="533"/>
      <c r="U95" s="536"/>
      <c r="V95" s="530"/>
    </row>
    <row r="96" spans="1:256" ht="13.5" thickBot="1">
      <c r="A96" s="166" t="s">
        <v>24</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129</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25</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7</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13.5" thickBot="1">
      <c r="A100" s="358" t="s">
        <v>55</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26</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113</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52</v>
      </c>
      <c r="B103" s="242">
        <f>SUM(B104)</f>
        <v>204</v>
      </c>
      <c r="C103" s="243">
        <f aca="true" t="shared" si="31" ref="C103:V103">SUM(C104)</f>
        <v>204</v>
      </c>
      <c r="D103" s="243">
        <f t="shared" si="31"/>
        <v>110</v>
      </c>
      <c r="E103" s="243">
        <f t="shared" si="31"/>
        <v>0</v>
      </c>
      <c r="F103" s="243">
        <f t="shared" si="31"/>
        <v>0</v>
      </c>
      <c r="G103" s="243">
        <f t="shared" si="31"/>
        <v>0</v>
      </c>
      <c r="H103" s="243">
        <f t="shared" si="31"/>
        <v>0</v>
      </c>
      <c r="I103" s="102">
        <f t="shared" si="31"/>
        <v>314</v>
      </c>
      <c r="J103" s="242">
        <f t="shared" si="31"/>
        <v>2319</v>
      </c>
      <c r="K103" s="243">
        <f t="shared" si="31"/>
        <v>2319</v>
      </c>
      <c r="L103" s="243">
        <f t="shared" si="31"/>
        <v>1837</v>
      </c>
      <c r="M103" s="243">
        <f t="shared" si="31"/>
        <v>2119</v>
      </c>
      <c r="N103" s="102">
        <f t="shared" si="31"/>
        <v>2037</v>
      </c>
      <c r="O103" s="242">
        <f t="shared" si="31"/>
        <v>72</v>
      </c>
      <c r="P103" s="243">
        <f t="shared" si="31"/>
        <v>72</v>
      </c>
      <c r="Q103" s="243">
        <f t="shared" si="31"/>
        <v>45</v>
      </c>
      <c r="R103" s="102">
        <f t="shared" si="31"/>
        <v>27</v>
      </c>
      <c r="S103" s="242">
        <f t="shared" si="31"/>
        <v>49</v>
      </c>
      <c r="T103" s="243">
        <f t="shared" si="31"/>
        <v>49</v>
      </c>
      <c r="U103" s="243">
        <f t="shared" si="31"/>
        <v>20</v>
      </c>
      <c r="V103" s="102">
        <f t="shared" si="31"/>
        <v>29</v>
      </c>
      <c r="W103" s="193"/>
      <c r="X103" s="86"/>
      <c r="Y103" s="86"/>
      <c r="Z103" s="86"/>
      <c r="AA103" s="86"/>
      <c r="AB103" s="86"/>
      <c r="AC103" s="86"/>
      <c r="AD103" s="86"/>
      <c r="AE103" s="86"/>
      <c r="AF103" s="86"/>
      <c r="AG103" s="86"/>
      <c r="AH103" s="86"/>
      <c r="AI103" s="86"/>
    </row>
    <row r="104" spans="1:35" ht="13.5" thickBot="1">
      <c r="A104" s="362" t="s">
        <v>130</v>
      </c>
      <c r="B104" s="355">
        <v>204</v>
      </c>
      <c r="C104" s="343">
        <v>204</v>
      </c>
      <c r="D104" s="343">
        <v>110</v>
      </c>
      <c r="E104" s="343">
        <v>0</v>
      </c>
      <c r="F104" s="343">
        <v>0</v>
      </c>
      <c r="G104" s="343">
        <v>0</v>
      </c>
      <c r="H104" s="343">
        <v>0</v>
      </c>
      <c r="I104" s="344">
        <f>B104+D104-H104</f>
        <v>314</v>
      </c>
      <c r="J104" s="355">
        <v>2319</v>
      </c>
      <c r="K104" s="342">
        <v>2319</v>
      </c>
      <c r="L104" s="342">
        <v>1837</v>
      </c>
      <c r="M104" s="343">
        <v>2119</v>
      </c>
      <c r="N104" s="345">
        <f>J104+L104-M104</f>
        <v>2037</v>
      </c>
      <c r="O104" s="355">
        <f>29+43</f>
        <v>72</v>
      </c>
      <c r="P104" s="342">
        <v>72</v>
      </c>
      <c r="Q104" s="343">
        <v>45</v>
      </c>
      <c r="R104" s="344">
        <f>O104-Q104</f>
        <v>27</v>
      </c>
      <c r="S104" s="355">
        <v>49</v>
      </c>
      <c r="T104" s="343">
        <v>49</v>
      </c>
      <c r="U104" s="343">
        <v>20</v>
      </c>
      <c r="V104" s="344">
        <f>S104-U104</f>
        <v>29</v>
      </c>
      <c r="W104" s="363"/>
      <c r="X104" s="364"/>
      <c r="Y104" s="364"/>
      <c r="Z104" s="364"/>
      <c r="AA104" s="364"/>
      <c r="AB104" s="364"/>
      <c r="AC104" s="364"/>
      <c r="AD104" s="364"/>
      <c r="AE104" s="364"/>
      <c r="AF104" s="364"/>
      <c r="AG104" s="364"/>
      <c r="AH104" s="364"/>
      <c r="AI104" s="364"/>
    </row>
    <row r="105" spans="1:35" ht="13.5" thickBot="1">
      <c r="A105" s="268" t="s">
        <v>27</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6</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28</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1260</v>
      </c>
      <c r="N107" s="29">
        <f t="shared" si="33"/>
        <v>1094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43</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44</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45</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46</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47</v>
      </c>
      <c r="B112" s="168">
        <v>392</v>
      </c>
      <c r="C112" s="170">
        <v>392</v>
      </c>
      <c r="D112" s="170">
        <v>407</v>
      </c>
      <c r="E112" s="170">
        <v>160</v>
      </c>
      <c r="F112" s="170">
        <v>0</v>
      </c>
      <c r="G112" s="170">
        <v>302</v>
      </c>
      <c r="H112" s="170">
        <v>625</v>
      </c>
      <c r="I112" s="38">
        <f t="shared" si="34"/>
        <v>174</v>
      </c>
      <c r="J112" s="168">
        <v>150</v>
      </c>
      <c r="K112" s="170">
        <v>150</v>
      </c>
      <c r="L112" s="170">
        <v>2</v>
      </c>
      <c r="M112" s="170">
        <v>72</v>
      </c>
      <c r="N112" s="38">
        <f t="shared" si="35"/>
        <v>80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48</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49</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56</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50</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198</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173</v>
      </c>
      <c r="B119" s="275"/>
      <c r="C119" s="667">
        <v>394</v>
      </c>
      <c r="D119" s="668"/>
      <c r="E119" s="277"/>
      <c r="F119" s="278"/>
      <c r="G119" s="279"/>
      <c r="H119" s="278"/>
      <c r="I119" s="276"/>
      <c r="J119" s="276"/>
      <c r="K119" s="277"/>
      <c r="L119" s="280"/>
      <c r="M119" s="281"/>
      <c r="N119" s="281"/>
      <c r="O119" s="658"/>
      <c r="P119" s="659"/>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664"/>
      <c r="J120" s="665"/>
      <c r="K120" s="294"/>
      <c r="L120" s="295"/>
      <c r="M120" s="296"/>
      <c r="N120" s="296"/>
      <c r="O120" s="664"/>
      <c r="P120" s="666"/>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662"/>
      <c r="J123" s="663"/>
      <c r="K123" s="308"/>
      <c r="L123" s="306"/>
      <c r="M123" s="309"/>
      <c r="N123" s="309"/>
      <c r="O123" s="660"/>
      <c r="P123" s="661"/>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61" t="s">
        <v>145</v>
      </c>
      <c r="B125" s="461"/>
      <c r="C125" s="461"/>
      <c r="D125" s="461"/>
      <c r="E125" s="461"/>
      <c r="F125" s="461"/>
      <c r="G125" s="461"/>
      <c r="H125" s="461"/>
      <c r="I125" s="461"/>
      <c r="J125" s="461"/>
      <c r="K125" s="461"/>
      <c r="L125" s="461"/>
      <c r="M125" s="461"/>
      <c r="N125" s="461"/>
      <c r="O125" s="461"/>
      <c r="P125" s="461"/>
      <c r="Q125" s="461"/>
      <c r="R125" s="461"/>
      <c r="S125" s="461"/>
      <c r="T125" s="461"/>
      <c r="U125" s="461"/>
      <c r="V125" s="461"/>
      <c r="W125" s="16"/>
      <c r="X125" s="17"/>
      <c r="Y125" s="489"/>
      <c r="Z125" s="490"/>
      <c r="AC125" s="17"/>
      <c r="AH125" s="17"/>
    </row>
    <row r="126" spans="1:34" ht="22.5">
      <c r="A126" s="18" t="s">
        <v>0</v>
      </c>
      <c r="B126" s="139" t="s">
        <v>86</v>
      </c>
      <c r="C126" s="139"/>
      <c r="D126" s="139"/>
      <c r="E126" s="139"/>
      <c r="F126" s="139"/>
      <c r="G126" s="140"/>
      <c r="H126" s="19" t="s">
        <v>29</v>
      </c>
      <c r="I126" s="462" t="s">
        <v>85</v>
      </c>
      <c r="J126" s="463"/>
      <c r="K126" s="463"/>
      <c r="L126" s="463"/>
      <c r="M126" s="463"/>
      <c r="N126" s="463"/>
      <c r="O126" s="463"/>
      <c r="P126" s="463"/>
      <c r="Q126" s="463"/>
      <c r="R126" s="463"/>
      <c r="S126" s="463"/>
      <c r="T126" s="463"/>
      <c r="U126" s="464"/>
      <c r="V126" s="20" t="s">
        <v>29</v>
      </c>
      <c r="W126" s="16"/>
      <c r="X126" s="17"/>
      <c r="Y126" s="489"/>
      <c r="Z126" s="490"/>
      <c r="AC126" s="17"/>
      <c r="AH126" s="17"/>
    </row>
    <row r="127" spans="1:34" ht="13.5" thickBot="1">
      <c r="A127" s="21"/>
      <c r="B127" s="22" t="s">
        <v>61</v>
      </c>
      <c r="C127" s="22"/>
      <c r="D127" s="22"/>
      <c r="E127" s="22"/>
      <c r="F127" s="22"/>
      <c r="G127" s="23"/>
      <c r="H127" s="24" t="s">
        <v>62</v>
      </c>
      <c r="I127" s="465"/>
      <c r="J127" s="466"/>
      <c r="K127" s="466"/>
      <c r="L127" s="466"/>
      <c r="M127" s="466"/>
      <c r="N127" s="466"/>
      <c r="O127" s="466"/>
      <c r="P127" s="466"/>
      <c r="Q127" s="466"/>
      <c r="R127" s="466"/>
      <c r="S127" s="466"/>
      <c r="T127" s="466"/>
      <c r="U127" s="467"/>
      <c r="V127" s="25" t="s">
        <v>63</v>
      </c>
      <c r="W127" s="16"/>
      <c r="X127" s="17"/>
      <c r="Y127" s="489"/>
      <c r="Z127" s="490"/>
      <c r="AC127" s="17"/>
      <c r="AH127" s="17"/>
    </row>
    <row r="128" spans="1:34" s="367" customFormat="1" ht="17.25" customHeight="1" thickBot="1">
      <c r="A128" s="164" t="s">
        <v>245</v>
      </c>
      <c r="B128" s="23"/>
      <c r="C128" s="365"/>
      <c r="D128" s="365"/>
      <c r="E128" s="365"/>
      <c r="F128" s="365"/>
      <c r="G128" s="365"/>
      <c r="H128" s="368">
        <f>H129+H144+H167+H193+H218+H220+H224+H230+H233+H241+H245+H243+H247</f>
        <v>11692</v>
      </c>
      <c r="I128" s="360"/>
      <c r="J128" s="361"/>
      <c r="K128" s="361"/>
      <c r="L128" s="361"/>
      <c r="M128" s="361"/>
      <c r="N128" s="361"/>
      <c r="O128" s="361"/>
      <c r="P128" s="361"/>
      <c r="Q128" s="361"/>
      <c r="R128" s="361"/>
      <c r="S128" s="361"/>
      <c r="T128" s="361"/>
      <c r="U128" s="361"/>
      <c r="V128" s="368">
        <f>V129+V144+V167+V193+V218+V220+V224+V230+V233+V241+V245+V243+V247</f>
        <v>29119</v>
      </c>
      <c r="W128" s="16"/>
      <c r="X128" s="42"/>
      <c r="Y128" s="83"/>
      <c r="Z128" s="366"/>
      <c r="AC128" s="42"/>
      <c r="AH128" s="42"/>
    </row>
    <row r="129" spans="1:34" ht="13.5" thickBot="1">
      <c r="A129" s="26" t="s">
        <v>14</v>
      </c>
      <c r="B129" s="27"/>
      <c r="C129" s="28"/>
      <c r="D129" s="28"/>
      <c r="E129" s="28"/>
      <c r="F129" s="28"/>
      <c r="G129" s="28"/>
      <c r="H129" s="29">
        <f>SUM(H130:H143)</f>
        <v>0</v>
      </c>
      <c r="I129" s="30"/>
      <c r="J129" s="28"/>
      <c r="K129" s="28"/>
      <c r="L129" s="28"/>
      <c r="M129" s="28"/>
      <c r="N129" s="28"/>
      <c r="O129" s="28"/>
      <c r="P129" s="28"/>
      <c r="Q129" s="28"/>
      <c r="R129" s="28"/>
      <c r="S129" s="28"/>
      <c r="T129" s="28"/>
      <c r="U129" s="28"/>
      <c r="V129" s="29">
        <f>SUM(V130:V143)</f>
        <v>502</v>
      </c>
      <c r="W129" s="16"/>
      <c r="X129" s="17"/>
      <c r="Y129" s="649"/>
      <c r="Z129" s="490"/>
      <c r="AC129" s="17"/>
      <c r="AH129" s="17"/>
    </row>
    <row r="130" spans="1:34" ht="12.75">
      <c r="A130" s="141" t="s">
        <v>104</v>
      </c>
      <c r="B130" s="32"/>
      <c r="C130" s="33"/>
      <c r="D130" s="33"/>
      <c r="E130" s="33"/>
      <c r="F130" s="33"/>
      <c r="G130" s="33"/>
      <c r="H130" s="34">
        <v>0</v>
      </c>
      <c r="I130" s="32"/>
      <c r="J130" s="33"/>
      <c r="K130" s="33"/>
      <c r="L130" s="33"/>
      <c r="M130" s="33"/>
      <c r="N130" s="33"/>
      <c r="O130" s="33"/>
      <c r="P130" s="33"/>
      <c r="Q130" s="33"/>
      <c r="R130" s="33"/>
      <c r="S130" s="33"/>
      <c r="T130" s="33"/>
      <c r="U130" s="33"/>
      <c r="V130" s="35">
        <v>0</v>
      </c>
      <c r="W130" s="16"/>
      <c r="X130" s="17"/>
      <c r="Y130" s="649"/>
      <c r="Z130" s="490"/>
      <c r="AC130" s="17"/>
      <c r="AH130" s="17"/>
    </row>
    <row r="131" spans="1:34" ht="12.75">
      <c r="A131" s="141" t="s">
        <v>114</v>
      </c>
      <c r="B131" s="32"/>
      <c r="C131" s="33"/>
      <c r="D131" s="33"/>
      <c r="E131" s="33"/>
      <c r="F131" s="33"/>
      <c r="G131" s="33"/>
      <c r="H131" s="34">
        <v>0</v>
      </c>
      <c r="I131" s="36"/>
      <c r="J131" s="33"/>
      <c r="K131" s="33"/>
      <c r="L131" s="33"/>
      <c r="M131" s="33"/>
      <c r="N131" s="33"/>
      <c r="O131" s="33"/>
      <c r="P131" s="33"/>
      <c r="Q131" s="33"/>
      <c r="R131" s="33"/>
      <c r="S131" s="33"/>
      <c r="T131" s="33"/>
      <c r="U131" s="33"/>
      <c r="V131" s="35">
        <v>0</v>
      </c>
      <c r="W131" s="16"/>
      <c r="X131" s="17"/>
      <c r="Y131" s="649"/>
      <c r="Z131" s="490"/>
      <c r="AC131" s="17"/>
      <c r="AH131" s="17"/>
    </row>
    <row r="132" spans="1:34" ht="12.75">
      <c r="A132" s="173" t="s">
        <v>42</v>
      </c>
      <c r="B132" s="32"/>
      <c r="C132" s="33"/>
      <c r="D132" s="33"/>
      <c r="E132" s="33"/>
      <c r="F132" s="33"/>
      <c r="G132" s="33"/>
      <c r="H132" s="34">
        <v>0</v>
      </c>
      <c r="I132" s="36"/>
      <c r="J132" s="33"/>
      <c r="K132" s="33"/>
      <c r="L132" s="33"/>
      <c r="M132" s="33"/>
      <c r="N132" s="33"/>
      <c r="O132" s="33"/>
      <c r="P132" s="33"/>
      <c r="Q132" s="33"/>
      <c r="R132" s="33"/>
      <c r="S132" s="33"/>
      <c r="T132" s="33"/>
      <c r="U132" s="33"/>
      <c r="V132" s="35">
        <v>0</v>
      </c>
      <c r="W132" s="16"/>
      <c r="X132" s="17"/>
      <c r="Y132" s="649"/>
      <c r="Z132" s="490"/>
      <c r="AC132" s="17"/>
      <c r="AH132" s="17"/>
    </row>
    <row r="133" spans="1:34" s="40" customFormat="1" ht="12.75">
      <c r="A133" s="141" t="s">
        <v>105</v>
      </c>
      <c r="B133" s="36"/>
      <c r="C133" s="37"/>
      <c r="D133" s="37"/>
      <c r="E133" s="37"/>
      <c r="F133" s="37"/>
      <c r="G133" s="37"/>
      <c r="H133" s="38">
        <v>0</v>
      </c>
      <c r="I133" s="36"/>
      <c r="J133" s="37"/>
      <c r="K133" s="37"/>
      <c r="L133" s="37"/>
      <c r="M133" s="37"/>
      <c r="N133" s="37"/>
      <c r="O133" s="37"/>
      <c r="P133" s="37"/>
      <c r="Q133" s="37"/>
      <c r="R133" s="37"/>
      <c r="S133" s="37"/>
      <c r="T133" s="37"/>
      <c r="U133" s="37"/>
      <c r="V133" s="39">
        <v>0</v>
      </c>
      <c r="X133" s="41"/>
      <c r="Y133" s="649"/>
      <c r="Z133" s="490"/>
      <c r="AC133" s="41"/>
      <c r="AH133" s="41"/>
    </row>
    <row r="134" spans="1:34" ht="12.75">
      <c r="A134" s="141" t="s">
        <v>57</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c r="X134" s="42"/>
      <c r="Y134" s="649"/>
      <c r="Z134" s="490"/>
      <c r="AC134" s="42"/>
      <c r="AH134" s="42"/>
    </row>
    <row r="135" spans="1:26" ht="12.75">
      <c r="A135" s="141" t="s">
        <v>106</v>
      </c>
      <c r="B135" s="32"/>
      <c r="C135" s="33"/>
      <c r="D135" s="33"/>
      <c r="E135" s="33"/>
      <c r="F135" s="33"/>
      <c r="G135" s="33"/>
      <c r="H135" s="34">
        <v>0</v>
      </c>
      <c r="I135" s="32"/>
      <c r="J135" s="33"/>
      <c r="K135" s="33"/>
      <c r="L135" s="33"/>
      <c r="M135" s="33"/>
      <c r="N135" s="33"/>
      <c r="O135" s="33"/>
      <c r="P135" s="33"/>
      <c r="Q135" s="33"/>
      <c r="R135" s="33"/>
      <c r="S135" s="33"/>
      <c r="T135" s="33"/>
      <c r="U135" s="33"/>
      <c r="V135" s="35">
        <v>0</v>
      </c>
      <c r="W135" s="16" t="s">
        <v>16</v>
      </c>
      <c r="Z135" s="42"/>
    </row>
    <row r="136" spans="1:22" s="40" customFormat="1" ht="12.75">
      <c r="A136" s="141" t="s">
        <v>103</v>
      </c>
      <c r="B136" s="36"/>
      <c r="C136" s="37"/>
      <c r="D136" s="37"/>
      <c r="E136" s="37"/>
      <c r="F136" s="37"/>
      <c r="G136" s="37"/>
      <c r="H136" s="38">
        <v>0</v>
      </c>
      <c r="I136" s="36"/>
      <c r="J136" s="37"/>
      <c r="K136" s="37"/>
      <c r="L136" s="37"/>
      <c r="M136" s="37"/>
      <c r="N136" s="37"/>
      <c r="O136" s="37"/>
      <c r="P136" s="37"/>
      <c r="Q136" s="37"/>
      <c r="R136" s="37"/>
      <c r="S136" s="37"/>
      <c r="T136" s="37"/>
      <c r="U136" s="37"/>
      <c r="V136" s="39">
        <v>0</v>
      </c>
    </row>
    <row r="137" spans="1:22" s="40" customFormat="1" ht="12.75">
      <c r="A137" s="141" t="s">
        <v>111</v>
      </c>
      <c r="B137" s="36"/>
      <c r="C137" s="43"/>
      <c r="D137" s="37"/>
      <c r="E137" s="37"/>
      <c r="F137" s="37"/>
      <c r="G137" s="37"/>
      <c r="H137" s="38">
        <v>0</v>
      </c>
      <c r="I137" s="36" t="s">
        <v>255</v>
      </c>
      <c r="J137" s="37"/>
      <c r="K137" s="37"/>
      <c r="L137" s="37"/>
      <c r="M137" s="37"/>
      <c r="N137" s="37"/>
      <c r="O137" s="44"/>
      <c r="P137" s="44"/>
      <c r="Q137" s="44"/>
      <c r="R137" s="44"/>
      <c r="S137" s="44"/>
      <c r="T137" s="44"/>
      <c r="U137" s="37"/>
      <c r="V137" s="39">
        <v>67</v>
      </c>
    </row>
    <row r="138" spans="1:23" ht="12.75">
      <c r="A138" s="141" t="s">
        <v>112</v>
      </c>
      <c r="B138" s="32"/>
      <c r="C138" s="33"/>
      <c r="D138" s="33"/>
      <c r="E138" s="33"/>
      <c r="F138" s="33"/>
      <c r="G138" s="33"/>
      <c r="H138" s="34">
        <v>0</v>
      </c>
      <c r="I138" s="36" t="s">
        <v>216</v>
      </c>
      <c r="J138" s="33"/>
      <c r="K138" s="33"/>
      <c r="L138" s="33"/>
      <c r="M138" s="33"/>
      <c r="N138" s="33"/>
      <c r="O138" s="33"/>
      <c r="P138" s="33"/>
      <c r="Q138" s="33"/>
      <c r="R138" s="33"/>
      <c r="S138" s="33"/>
      <c r="T138" s="33"/>
      <c r="U138" s="33"/>
      <c r="V138" s="35">
        <v>235</v>
      </c>
      <c r="W138" s="16"/>
    </row>
    <row r="139" spans="1:23" ht="12.75">
      <c r="A139" s="141" t="s">
        <v>168</v>
      </c>
      <c r="B139" s="36"/>
      <c r="C139" s="33"/>
      <c r="D139" s="33"/>
      <c r="E139" s="33"/>
      <c r="F139" s="33"/>
      <c r="G139" s="33"/>
      <c r="H139" s="34">
        <v>0</v>
      </c>
      <c r="J139" s="33"/>
      <c r="K139" s="33"/>
      <c r="L139" s="33"/>
      <c r="M139" s="33"/>
      <c r="N139" s="33"/>
      <c r="O139" s="33"/>
      <c r="P139" s="33"/>
      <c r="Q139" s="33"/>
      <c r="R139" s="33"/>
      <c r="S139" s="33"/>
      <c r="T139" s="33"/>
      <c r="U139" s="33"/>
      <c r="V139" s="35">
        <v>0</v>
      </c>
      <c r="W139" s="16"/>
    </row>
    <row r="140" spans="1:23" ht="12.75">
      <c r="A140" s="141" t="s">
        <v>107</v>
      </c>
      <c r="B140" s="32"/>
      <c r="C140" s="33"/>
      <c r="D140" s="33"/>
      <c r="E140" s="33"/>
      <c r="F140" s="33"/>
      <c r="G140" s="33"/>
      <c r="H140" s="34">
        <v>0</v>
      </c>
      <c r="I140" s="51"/>
      <c r="J140" s="33"/>
      <c r="K140" s="33"/>
      <c r="L140" s="33"/>
      <c r="M140" s="33"/>
      <c r="N140" s="33"/>
      <c r="O140" s="33"/>
      <c r="P140" s="33"/>
      <c r="Q140" s="33"/>
      <c r="R140" s="33"/>
      <c r="S140" s="33"/>
      <c r="T140" s="33"/>
      <c r="U140" s="33"/>
      <c r="V140" s="35">
        <v>0</v>
      </c>
      <c r="W140" s="16"/>
    </row>
    <row r="141" spans="1:23" ht="12.75">
      <c r="A141" s="141" t="s">
        <v>108</v>
      </c>
      <c r="B141" s="32"/>
      <c r="C141" s="33"/>
      <c r="D141" s="33"/>
      <c r="E141" s="33"/>
      <c r="F141" s="33"/>
      <c r="G141" s="33"/>
      <c r="H141" s="34">
        <v>0</v>
      </c>
      <c r="I141" s="32"/>
      <c r="J141" s="33"/>
      <c r="K141" s="33"/>
      <c r="L141" s="33"/>
      <c r="M141" s="33"/>
      <c r="N141" s="33"/>
      <c r="O141" s="33"/>
      <c r="P141" s="33"/>
      <c r="Q141" s="33"/>
      <c r="R141" s="33"/>
      <c r="S141" s="33"/>
      <c r="T141" s="33"/>
      <c r="U141" s="33"/>
      <c r="V141" s="35">
        <v>0</v>
      </c>
      <c r="W141" s="16"/>
    </row>
    <row r="142" spans="1:23" ht="12.75">
      <c r="A142" s="141" t="s">
        <v>109</v>
      </c>
      <c r="B142" s="45"/>
      <c r="C142" s="46"/>
      <c r="D142" s="46"/>
      <c r="E142" s="46"/>
      <c r="F142" s="46"/>
      <c r="G142" s="46"/>
      <c r="H142" s="47">
        <v>0</v>
      </c>
      <c r="I142" s="48"/>
      <c r="J142" s="46"/>
      <c r="K142" s="46"/>
      <c r="L142" s="46"/>
      <c r="M142" s="46"/>
      <c r="N142" s="46"/>
      <c r="O142" s="46"/>
      <c r="P142" s="46"/>
      <c r="Q142" s="46"/>
      <c r="R142" s="46"/>
      <c r="S142" s="46"/>
      <c r="T142" s="46"/>
      <c r="U142" s="46"/>
      <c r="V142" s="49">
        <v>0</v>
      </c>
      <c r="W142" s="16"/>
    </row>
    <row r="143" spans="1:23" ht="13.5" thickBot="1">
      <c r="A143" s="180" t="s">
        <v>110</v>
      </c>
      <c r="B143" s="51"/>
      <c r="C143" s="33"/>
      <c r="D143" s="33"/>
      <c r="E143" s="33"/>
      <c r="F143" s="33"/>
      <c r="G143" s="33"/>
      <c r="H143" s="34">
        <v>0</v>
      </c>
      <c r="I143" s="51" t="s">
        <v>217</v>
      </c>
      <c r="J143" s="33"/>
      <c r="K143" s="33"/>
      <c r="L143" s="33"/>
      <c r="M143" s="33"/>
      <c r="N143" s="33"/>
      <c r="O143" s="33"/>
      <c r="P143" s="33"/>
      <c r="Q143" s="33"/>
      <c r="R143" s="33"/>
      <c r="S143" s="33"/>
      <c r="T143" s="33"/>
      <c r="U143" s="33"/>
      <c r="V143" s="38">
        <v>200</v>
      </c>
      <c r="W143" s="16"/>
    </row>
    <row r="144" spans="1:22" ht="13.5" thickBot="1">
      <c r="A144" s="52" t="s">
        <v>64</v>
      </c>
      <c r="B144" s="27"/>
      <c r="C144" s="28"/>
      <c r="D144" s="28"/>
      <c r="E144" s="28"/>
      <c r="F144" s="28"/>
      <c r="G144" s="28"/>
      <c r="H144" s="29">
        <f>SUM(H145:H162)</f>
        <v>1047</v>
      </c>
      <c r="I144" s="27"/>
      <c r="J144" s="28"/>
      <c r="K144" s="28"/>
      <c r="L144" s="28"/>
      <c r="M144" s="28"/>
      <c r="N144" s="28"/>
      <c r="O144" s="28"/>
      <c r="P144" s="28"/>
      <c r="Q144" s="28"/>
      <c r="R144" s="28"/>
      <c r="S144" s="28"/>
      <c r="T144" s="28"/>
      <c r="U144" s="28"/>
      <c r="V144" s="29">
        <f>SUM(V145:V162)</f>
        <v>1840</v>
      </c>
    </row>
    <row r="145" spans="1:22" s="40" customFormat="1" ht="12.75">
      <c r="A145" s="50" t="s">
        <v>65</v>
      </c>
      <c r="B145" s="441" t="s">
        <v>205</v>
      </c>
      <c r="C145" s="442"/>
      <c r="D145" s="442"/>
      <c r="E145" s="442"/>
      <c r="F145" s="442"/>
      <c r="G145" s="443"/>
      <c r="H145" s="53">
        <v>80</v>
      </c>
      <c r="I145" s="441" t="s">
        <v>218</v>
      </c>
      <c r="J145" s="442"/>
      <c r="K145" s="442"/>
      <c r="L145" s="442"/>
      <c r="M145" s="442"/>
      <c r="N145" s="442"/>
      <c r="O145" s="442"/>
      <c r="P145" s="442"/>
      <c r="Q145" s="442"/>
      <c r="R145" s="442"/>
      <c r="S145" s="442"/>
      <c r="T145" s="442"/>
      <c r="U145" s="443"/>
      <c r="V145" s="54">
        <v>150</v>
      </c>
    </row>
    <row r="146" spans="1:22" s="40" customFormat="1" ht="12.75">
      <c r="A146" s="31" t="s">
        <v>1</v>
      </c>
      <c r="B146" s="36"/>
      <c r="C146" s="37"/>
      <c r="D146" s="37"/>
      <c r="E146" s="37"/>
      <c r="F146" s="37"/>
      <c r="G146" s="37"/>
      <c r="H146" s="38">
        <v>0</v>
      </c>
      <c r="I146" s="36"/>
      <c r="J146" s="37"/>
      <c r="K146" s="37"/>
      <c r="L146" s="37"/>
      <c r="M146" s="37"/>
      <c r="N146" s="37"/>
      <c r="O146" s="37"/>
      <c r="P146" s="37"/>
      <c r="Q146" s="37"/>
      <c r="R146" s="37"/>
      <c r="S146" s="37"/>
      <c r="T146" s="37"/>
      <c r="U146" s="37"/>
      <c r="V146" s="39"/>
    </row>
    <row r="147" spans="1:22" s="40" customFormat="1" ht="36.75" customHeight="1">
      <c r="A147" s="55" t="s">
        <v>95</v>
      </c>
      <c r="B147" s="36"/>
      <c r="C147" s="37"/>
      <c r="D147" s="37"/>
      <c r="E147" s="37"/>
      <c r="F147" s="37"/>
      <c r="G147" s="37"/>
      <c r="H147" s="38">
        <v>0</v>
      </c>
      <c r="I147" s="444" t="s">
        <v>249</v>
      </c>
      <c r="J147" s="445"/>
      <c r="K147" s="445"/>
      <c r="L147" s="445"/>
      <c r="M147" s="445"/>
      <c r="N147" s="445"/>
      <c r="O147" s="445"/>
      <c r="P147" s="445"/>
      <c r="Q147" s="445"/>
      <c r="R147" s="445"/>
      <c r="S147" s="445"/>
      <c r="T147" s="445"/>
      <c r="U147" s="446"/>
      <c r="V147" s="39">
        <f>1030-140-130</f>
        <v>760</v>
      </c>
    </row>
    <row r="148" spans="1:22" s="40" customFormat="1" ht="21" customHeight="1">
      <c r="A148" s="31" t="s">
        <v>2</v>
      </c>
      <c r="B148" s="444"/>
      <c r="C148" s="445"/>
      <c r="D148" s="445"/>
      <c r="E148" s="445"/>
      <c r="F148" s="445"/>
      <c r="G148" s="446"/>
      <c r="H148" s="38">
        <v>0</v>
      </c>
      <c r="I148" s="650" t="s">
        <v>244</v>
      </c>
      <c r="J148" s="681"/>
      <c r="K148" s="681"/>
      <c r="L148" s="681"/>
      <c r="M148" s="681"/>
      <c r="N148" s="681"/>
      <c r="O148" s="681"/>
      <c r="P148" s="681"/>
      <c r="Q148" s="681"/>
      <c r="R148" s="681"/>
      <c r="S148" s="681"/>
      <c r="T148" s="681"/>
      <c r="U148" s="682"/>
      <c r="V148" s="39">
        <v>110</v>
      </c>
    </row>
    <row r="149" spans="1:22" s="40" customFormat="1" ht="12.75">
      <c r="A149" s="31" t="s">
        <v>96</v>
      </c>
      <c r="B149" s="36"/>
      <c r="C149" s="44"/>
      <c r="D149" s="37"/>
      <c r="E149" s="37"/>
      <c r="F149" s="37"/>
      <c r="G149" s="37"/>
      <c r="H149" s="38">
        <v>0</v>
      </c>
      <c r="I149" s="444" t="s">
        <v>229</v>
      </c>
      <c r="J149" s="445"/>
      <c r="K149" s="445"/>
      <c r="L149" s="445"/>
      <c r="M149" s="445"/>
      <c r="N149" s="445"/>
      <c r="O149" s="445"/>
      <c r="P149" s="445"/>
      <c r="Q149" s="445"/>
      <c r="R149" s="445"/>
      <c r="S149" s="445"/>
      <c r="T149" s="445"/>
      <c r="U149" s="446"/>
      <c r="V149" s="39">
        <v>170</v>
      </c>
    </row>
    <row r="150" spans="1:22" s="40" customFormat="1" ht="12.75" customHeight="1">
      <c r="A150" s="485" t="s">
        <v>97</v>
      </c>
      <c r="B150" s="435"/>
      <c r="C150" s="436"/>
      <c r="D150" s="436"/>
      <c r="E150" s="436"/>
      <c r="F150" s="436"/>
      <c r="G150" s="437"/>
      <c r="H150" s="487">
        <v>0</v>
      </c>
      <c r="I150" s="491" t="s">
        <v>201</v>
      </c>
      <c r="J150" s="492"/>
      <c r="K150" s="492"/>
      <c r="L150" s="492"/>
      <c r="M150" s="492"/>
      <c r="N150" s="492"/>
      <c r="O150" s="492"/>
      <c r="P150" s="492"/>
      <c r="Q150" s="492"/>
      <c r="R150" s="492"/>
      <c r="S150" s="492"/>
      <c r="T150" s="492"/>
      <c r="U150" s="493"/>
      <c r="V150" s="487">
        <v>430</v>
      </c>
    </row>
    <row r="151" spans="1:22" s="40" customFormat="1" ht="10.5" customHeight="1">
      <c r="A151" s="486"/>
      <c r="B151" s="447"/>
      <c r="C151" s="448"/>
      <c r="D151" s="448"/>
      <c r="E151" s="448"/>
      <c r="F151" s="448"/>
      <c r="G151" s="449"/>
      <c r="H151" s="488"/>
      <c r="I151" s="494"/>
      <c r="J151" s="495"/>
      <c r="K151" s="495"/>
      <c r="L151" s="495"/>
      <c r="M151" s="495"/>
      <c r="N151" s="495"/>
      <c r="O151" s="495"/>
      <c r="P151" s="495"/>
      <c r="Q151" s="495"/>
      <c r="R151" s="495"/>
      <c r="S151" s="495"/>
      <c r="T151" s="495"/>
      <c r="U151" s="496"/>
      <c r="V151" s="488"/>
    </row>
    <row r="152" spans="1:22" s="40" customFormat="1" ht="12.75">
      <c r="A152" s="31" t="s">
        <v>3</v>
      </c>
      <c r="B152" s="36"/>
      <c r="C152" s="37"/>
      <c r="D152" s="37"/>
      <c r="E152" s="37"/>
      <c r="F152" s="37"/>
      <c r="G152" s="37"/>
      <c r="H152" s="38">
        <v>0</v>
      </c>
      <c r="I152" s="444" t="s">
        <v>243</v>
      </c>
      <c r="J152" s="445"/>
      <c r="K152" s="445"/>
      <c r="L152" s="445"/>
      <c r="M152" s="445"/>
      <c r="N152" s="445"/>
      <c r="O152" s="445"/>
      <c r="P152" s="445"/>
      <c r="Q152" s="445"/>
      <c r="R152" s="445"/>
      <c r="S152" s="445"/>
      <c r="T152" s="445"/>
      <c r="U152" s="446"/>
      <c r="V152" s="39">
        <v>70</v>
      </c>
    </row>
    <row r="153" spans="1:22" s="40" customFormat="1" ht="12.75">
      <c r="A153" s="57" t="s">
        <v>4</v>
      </c>
      <c r="B153" s="36"/>
      <c r="C153" s="37"/>
      <c r="D153" s="37"/>
      <c r="E153" s="37"/>
      <c r="F153" s="37"/>
      <c r="G153" s="37"/>
      <c r="H153" s="38">
        <v>0</v>
      </c>
      <c r="I153" s="36"/>
      <c r="J153" s="37"/>
      <c r="K153" s="37"/>
      <c r="L153" s="37"/>
      <c r="M153" s="37"/>
      <c r="N153" s="37"/>
      <c r="O153" s="37"/>
      <c r="P153" s="37"/>
      <c r="Q153" s="37"/>
      <c r="R153" s="37"/>
      <c r="S153" s="37"/>
      <c r="T153" s="37"/>
      <c r="U153" s="37"/>
      <c r="V153" s="39">
        <v>0</v>
      </c>
    </row>
    <row r="154" spans="1:22" s="40" customFormat="1" ht="22.5" customHeight="1">
      <c r="A154" s="450" t="s">
        <v>101</v>
      </c>
      <c r="B154" s="435" t="s">
        <v>209</v>
      </c>
      <c r="C154" s="436"/>
      <c r="D154" s="436"/>
      <c r="E154" s="436"/>
      <c r="F154" s="436"/>
      <c r="G154" s="437"/>
      <c r="H154" s="487">
        <v>532</v>
      </c>
      <c r="I154" s="435"/>
      <c r="J154" s="436"/>
      <c r="K154" s="436"/>
      <c r="L154" s="436"/>
      <c r="M154" s="436"/>
      <c r="N154" s="436"/>
      <c r="O154" s="436"/>
      <c r="P154" s="436"/>
      <c r="Q154" s="436"/>
      <c r="R154" s="436"/>
      <c r="S154" s="436"/>
      <c r="T154" s="436"/>
      <c r="U154" s="437"/>
      <c r="V154" s="487">
        <v>0</v>
      </c>
    </row>
    <row r="155" spans="1:22" s="40" customFormat="1" ht="12.75">
      <c r="A155" s="451"/>
      <c r="B155" s="447"/>
      <c r="C155" s="448"/>
      <c r="D155" s="448"/>
      <c r="E155" s="448"/>
      <c r="F155" s="448"/>
      <c r="G155" s="449"/>
      <c r="H155" s="488"/>
      <c r="I155" s="447"/>
      <c r="J155" s="448"/>
      <c r="K155" s="448"/>
      <c r="L155" s="448"/>
      <c r="M155" s="448"/>
      <c r="N155" s="448"/>
      <c r="O155" s="448"/>
      <c r="P155" s="448"/>
      <c r="Q155" s="448"/>
      <c r="R155" s="448"/>
      <c r="S155" s="448"/>
      <c r="T155" s="448"/>
      <c r="U155" s="449"/>
      <c r="V155" s="488"/>
    </row>
    <row r="156" spans="1:22" s="40" customFormat="1" ht="23.25" customHeight="1">
      <c r="A156" s="55" t="s">
        <v>5</v>
      </c>
      <c r="B156" s="435" t="s">
        <v>202</v>
      </c>
      <c r="C156" s="436"/>
      <c r="D156" s="436"/>
      <c r="E156" s="436"/>
      <c r="F156" s="436"/>
      <c r="G156" s="437"/>
      <c r="H156" s="38">
        <v>200</v>
      </c>
      <c r="I156" s="36"/>
      <c r="J156" s="37"/>
      <c r="K156" s="37"/>
      <c r="L156" s="37"/>
      <c r="M156" s="37"/>
      <c r="N156" s="37"/>
      <c r="O156" s="37"/>
      <c r="P156" s="37"/>
      <c r="Q156" s="37"/>
      <c r="R156" s="37"/>
      <c r="S156" s="37"/>
      <c r="T156" s="37"/>
      <c r="U156" s="37"/>
      <c r="V156" s="38">
        <v>0</v>
      </c>
    </row>
    <row r="157" spans="1:22" s="40" customFormat="1" ht="22.5" customHeight="1">
      <c r="A157" s="450" t="s">
        <v>82</v>
      </c>
      <c r="B157" s="435" t="s">
        <v>263</v>
      </c>
      <c r="C157" s="436"/>
      <c r="D157" s="436"/>
      <c r="E157" s="436"/>
      <c r="F157" s="436"/>
      <c r="G157" s="437"/>
      <c r="H157" s="487">
        <v>35</v>
      </c>
      <c r="I157" s="435"/>
      <c r="J157" s="436"/>
      <c r="K157" s="436"/>
      <c r="L157" s="436"/>
      <c r="M157" s="436"/>
      <c r="N157" s="436"/>
      <c r="O157" s="436"/>
      <c r="P157" s="436"/>
      <c r="Q157" s="436"/>
      <c r="R157" s="436"/>
      <c r="S157" s="436"/>
      <c r="T157" s="436"/>
      <c r="U157" s="437"/>
      <c r="V157" s="487">
        <v>0</v>
      </c>
    </row>
    <row r="158" spans="1:22" s="40" customFormat="1" ht="21.75" customHeight="1">
      <c r="A158" s="451"/>
      <c r="B158" s="447"/>
      <c r="C158" s="448"/>
      <c r="D158" s="448"/>
      <c r="E158" s="448"/>
      <c r="F158" s="448"/>
      <c r="G158" s="449"/>
      <c r="H158" s="488"/>
      <c r="I158" s="447"/>
      <c r="J158" s="448"/>
      <c r="K158" s="448"/>
      <c r="L158" s="448"/>
      <c r="M158" s="448"/>
      <c r="N158" s="448"/>
      <c r="O158" s="448"/>
      <c r="P158" s="448"/>
      <c r="Q158" s="448"/>
      <c r="R158" s="448"/>
      <c r="S158" s="448"/>
      <c r="T158" s="448"/>
      <c r="U158" s="449"/>
      <c r="V158" s="488"/>
    </row>
    <row r="159" spans="1:22" s="40" customFormat="1" ht="12.75" customHeight="1">
      <c r="A159" s="450" t="s">
        <v>100</v>
      </c>
      <c r="B159" s="435" t="s">
        <v>204</v>
      </c>
      <c r="C159" s="436"/>
      <c r="D159" s="436"/>
      <c r="E159" s="436"/>
      <c r="F159" s="436"/>
      <c r="G159" s="437"/>
      <c r="H159" s="487">
        <v>150</v>
      </c>
      <c r="I159" s="435"/>
      <c r="J159" s="436"/>
      <c r="K159" s="436"/>
      <c r="L159" s="436"/>
      <c r="M159" s="436"/>
      <c r="N159" s="436"/>
      <c r="O159" s="436"/>
      <c r="P159" s="436"/>
      <c r="Q159" s="436"/>
      <c r="R159" s="436"/>
      <c r="S159" s="436"/>
      <c r="T159" s="436"/>
      <c r="U159" s="437"/>
      <c r="V159" s="487">
        <v>0</v>
      </c>
    </row>
    <row r="160" spans="1:22" s="40" customFormat="1" ht="12.75" customHeight="1">
      <c r="A160" s="451"/>
      <c r="B160" s="447"/>
      <c r="C160" s="448"/>
      <c r="D160" s="448"/>
      <c r="E160" s="448"/>
      <c r="F160" s="448"/>
      <c r="G160" s="449"/>
      <c r="H160" s="488"/>
      <c r="I160" s="447"/>
      <c r="J160" s="448"/>
      <c r="K160" s="448"/>
      <c r="L160" s="448"/>
      <c r="M160" s="448"/>
      <c r="N160" s="448"/>
      <c r="O160" s="448"/>
      <c r="P160" s="448"/>
      <c r="Q160" s="448"/>
      <c r="R160" s="448"/>
      <c r="S160" s="448"/>
      <c r="T160" s="448"/>
      <c r="U160" s="449"/>
      <c r="V160" s="488"/>
    </row>
    <row r="161" spans="1:22" s="40" customFormat="1" ht="19.5" customHeight="1">
      <c r="A161" s="31" t="s">
        <v>31</v>
      </c>
      <c r="B161" s="435" t="s">
        <v>208</v>
      </c>
      <c r="C161" s="436"/>
      <c r="D161" s="436"/>
      <c r="E161" s="436"/>
      <c r="F161" s="436"/>
      <c r="G161" s="437"/>
      <c r="H161" s="38">
        <v>50</v>
      </c>
      <c r="I161" s="36"/>
      <c r="J161" s="37"/>
      <c r="K161" s="37"/>
      <c r="L161" s="37"/>
      <c r="M161" s="37"/>
      <c r="N161" s="37"/>
      <c r="O161" s="37"/>
      <c r="P161" s="37"/>
      <c r="Q161" s="37"/>
      <c r="R161" s="37"/>
      <c r="S161" s="37"/>
      <c r="T161" s="37"/>
      <c r="U161" s="37"/>
      <c r="V161" s="39">
        <v>0</v>
      </c>
    </row>
    <row r="162" spans="1:22" s="40" customFormat="1" ht="13.5" thickBot="1">
      <c r="A162" s="60" t="s">
        <v>32</v>
      </c>
      <c r="B162" s="61"/>
      <c r="C162" s="62"/>
      <c r="D162" s="62"/>
      <c r="E162" s="62"/>
      <c r="F162" s="62"/>
      <c r="G162" s="62"/>
      <c r="H162" s="63">
        <v>0</v>
      </c>
      <c r="I162" s="438" t="s">
        <v>264</v>
      </c>
      <c r="J162" s="439"/>
      <c r="K162" s="439"/>
      <c r="L162" s="439"/>
      <c r="M162" s="439"/>
      <c r="N162" s="439"/>
      <c r="O162" s="439"/>
      <c r="P162" s="439"/>
      <c r="Q162" s="439"/>
      <c r="R162" s="439"/>
      <c r="S162" s="439"/>
      <c r="T162" s="439"/>
      <c r="U162" s="440"/>
      <c r="V162" s="64">
        <v>150</v>
      </c>
    </row>
    <row r="163" ht="12.75">
      <c r="A163" s="65"/>
    </row>
    <row r="164" spans="1:24" ht="18.75" thickBot="1">
      <c r="A164" s="461" t="s">
        <v>145</v>
      </c>
      <c r="B164" s="461"/>
      <c r="C164" s="461"/>
      <c r="D164" s="461"/>
      <c r="E164" s="461"/>
      <c r="F164" s="461"/>
      <c r="G164" s="461"/>
      <c r="H164" s="461"/>
      <c r="I164" s="461"/>
      <c r="J164" s="461"/>
      <c r="K164" s="461"/>
      <c r="L164" s="461"/>
      <c r="M164" s="461"/>
      <c r="N164" s="461"/>
      <c r="O164" s="461"/>
      <c r="P164" s="461"/>
      <c r="Q164" s="461"/>
      <c r="R164" s="461"/>
      <c r="S164" s="461"/>
      <c r="T164" s="461"/>
      <c r="U164" s="461"/>
      <c r="V164" s="461"/>
      <c r="X164" s="66"/>
    </row>
    <row r="165" spans="1:34" ht="22.5">
      <c r="A165" s="18" t="s">
        <v>0</v>
      </c>
      <c r="B165" s="139" t="s">
        <v>86</v>
      </c>
      <c r="C165" s="139"/>
      <c r="D165" s="139"/>
      <c r="E165" s="139"/>
      <c r="F165" s="139"/>
      <c r="G165" s="140"/>
      <c r="H165" s="19" t="s">
        <v>29</v>
      </c>
      <c r="I165" s="462" t="s">
        <v>85</v>
      </c>
      <c r="J165" s="463"/>
      <c r="K165" s="463"/>
      <c r="L165" s="463"/>
      <c r="M165" s="463"/>
      <c r="N165" s="463"/>
      <c r="O165" s="463"/>
      <c r="P165" s="463"/>
      <c r="Q165" s="463"/>
      <c r="R165" s="463"/>
      <c r="S165" s="463"/>
      <c r="T165" s="463"/>
      <c r="U165" s="464"/>
      <c r="V165" s="20" t="s">
        <v>29</v>
      </c>
      <c r="W165" s="16"/>
      <c r="X165" s="17"/>
      <c r="Y165" s="489"/>
      <c r="Z165" s="490"/>
      <c r="AC165" s="17"/>
      <c r="AH165" s="17"/>
    </row>
    <row r="166" spans="1:34" ht="13.5" thickBot="1">
      <c r="A166" s="21"/>
      <c r="B166" s="22" t="s">
        <v>61</v>
      </c>
      <c r="C166" s="22"/>
      <c r="D166" s="22"/>
      <c r="E166" s="22"/>
      <c r="F166" s="22"/>
      <c r="G166" s="23"/>
      <c r="H166" s="24" t="s">
        <v>62</v>
      </c>
      <c r="I166" s="465"/>
      <c r="J166" s="466"/>
      <c r="K166" s="466"/>
      <c r="L166" s="466"/>
      <c r="M166" s="466"/>
      <c r="N166" s="466"/>
      <c r="O166" s="466"/>
      <c r="P166" s="466"/>
      <c r="Q166" s="466"/>
      <c r="R166" s="466"/>
      <c r="S166" s="466"/>
      <c r="T166" s="466"/>
      <c r="U166" s="467"/>
      <c r="V166" s="25" t="s">
        <v>63</v>
      </c>
      <c r="W166" s="16"/>
      <c r="X166" s="17"/>
      <c r="Y166" s="489"/>
      <c r="Z166" s="490"/>
      <c r="AC166" s="17"/>
      <c r="AH166" s="17"/>
    </row>
    <row r="167" spans="1:23" ht="13.5" thickBot="1">
      <c r="A167" s="26" t="s">
        <v>66</v>
      </c>
      <c r="B167" s="27"/>
      <c r="C167" s="28"/>
      <c r="D167" s="28"/>
      <c r="E167" s="28"/>
      <c r="F167" s="28"/>
      <c r="G167" s="28"/>
      <c r="H167" s="29">
        <f>SUM(H168:H192)</f>
        <v>6359</v>
      </c>
      <c r="I167" s="27"/>
      <c r="J167" s="28"/>
      <c r="K167" s="28"/>
      <c r="L167" s="28"/>
      <c r="M167" s="28"/>
      <c r="N167" s="28"/>
      <c r="O167" s="28"/>
      <c r="P167" s="28"/>
      <c r="Q167" s="28"/>
      <c r="R167" s="28"/>
      <c r="S167" s="28"/>
      <c r="T167" s="28"/>
      <c r="U167" s="28"/>
      <c r="V167" s="29">
        <f>SUM(I168+V168+V170+V171+V172+V173+V175+V177+V178+V179+V180+V181+V182+V183+V184+V185+V186+V187+V188+V189+V190+V191+V192)</f>
        <v>5956</v>
      </c>
      <c r="W167" s="67"/>
    </row>
    <row r="168" spans="1:22" s="40" customFormat="1" ht="12.75">
      <c r="A168" s="478" t="s">
        <v>115</v>
      </c>
      <c r="B168" s="479" t="s">
        <v>174</v>
      </c>
      <c r="C168" s="480"/>
      <c r="D168" s="480"/>
      <c r="E168" s="480"/>
      <c r="F168" s="480"/>
      <c r="G168" s="481"/>
      <c r="H168" s="517">
        <f>370+45</f>
        <v>415</v>
      </c>
      <c r="I168" s="513"/>
      <c r="J168" s="513"/>
      <c r="K168" s="513"/>
      <c r="L168" s="513"/>
      <c r="M168" s="513"/>
      <c r="N168" s="513"/>
      <c r="O168" s="513"/>
      <c r="P168" s="513"/>
      <c r="Q168" s="513"/>
      <c r="R168" s="513"/>
      <c r="S168" s="513"/>
      <c r="T168" s="513"/>
      <c r="U168" s="514"/>
      <c r="V168" s="511">
        <v>0</v>
      </c>
    </row>
    <row r="169" spans="1:22" s="40" customFormat="1" ht="7.5" customHeight="1">
      <c r="A169" s="451"/>
      <c r="B169" s="447"/>
      <c r="C169" s="448"/>
      <c r="D169" s="448"/>
      <c r="E169" s="448"/>
      <c r="F169" s="448"/>
      <c r="G169" s="449"/>
      <c r="H169" s="453"/>
      <c r="I169" s="515"/>
      <c r="J169" s="515"/>
      <c r="K169" s="515"/>
      <c r="L169" s="515"/>
      <c r="M169" s="515"/>
      <c r="N169" s="515"/>
      <c r="O169" s="515"/>
      <c r="P169" s="515"/>
      <c r="Q169" s="515"/>
      <c r="R169" s="515"/>
      <c r="S169" s="515"/>
      <c r="T169" s="515"/>
      <c r="U169" s="516"/>
      <c r="V169" s="512"/>
    </row>
    <row r="170" spans="1:22" s="40" customFormat="1" ht="22.5" customHeight="1">
      <c r="A170" s="50" t="s">
        <v>116</v>
      </c>
      <c r="B170" s="68" t="s">
        <v>195</v>
      </c>
      <c r="C170" s="69"/>
      <c r="D170" s="69"/>
      <c r="E170" s="69"/>
      <c r="F170" s="69"/>
      <c r="G170" s="69"/>
      <c r="H170" s="70">
        <v>200</v>
      </c>
      <c r="I170" s="68" t="s">
        <v>256</v>
      </c>
      <c r="J170" s="69"/>
      <c r="K170" s="69"/>
      <c r="L170" s="69"/>
      <c r="M170" s="69"/>
      <c r="N170" s="69"/>
      <c r="O170" s="69"/>
      <c r="P170" s="69"/>
      <c r="Q170" s="69"/>
      <c r="R170" s="69"/>
      <c r="S170" s="69"/>
      <c r="T170" s="69"/>
      <c r="U170" s="69"/>
      <c r="V170" s="59">
        <f>800-400</f>
        <v>400</v>
      </c>
    </row>
    <row r="171" spans="1:22" s="40" customFormat="1" ht="12.75">
      <c r="A171" s="31" t="s">
        <v>117</v>
      </c>
      <c r="B171" s="36"/>
      <c r="C171" s="43"/>
      <c r="D171" s="37"/>
      <c r="E171" s="37"/>
      <c r="F171" s="37"/>
      <c r="G171" s="37"/>
      <c r="H171" s="38">
        <v>0</v>
      </c>
      <c r="I171" s="36" t="s">
        <v>176</v>
      </c>
      <c r="J171" s="37"/>
      <c r="K171" s="37"/>
      <c r="L171" s="37"/>
      <c r="M171" s="37"/>
      <c r="N171" s="37"/>
      <c r="O171" s="37"/>
      <c r="P171" s="37"/>
      <c r="Q171" s="37"/>
      <c r="R171" s="37"/>
      <c r="S171" s="37"/>
      <c r="T171" s="37"/>
      <c r="U171" s="37"/>
      <c r="V171" s="39">
        <v>60</v>
      </c>
    </row>
    <row r="172" spans="1:22" s="40" customFormat="1" ht="23.25" customHeight="1">
      <c r="A172" s="57" t="s">
        <v>118</v>
      </c>
      <c r="B172" s="36"/>
      <c r="C172" s="37"/>
      <c r="D172" s="37"/>
      <c r="E172" s="37"/>
      <c r="F172" s="37"/>
      <c r="G172" s="37"/>
      <c r="H172" s="38">
        <v>0</v>
      </c>
      <c r="I172" s="36" t="s">
        <v>177</v>
      </c>
      <c r="J172" s="37"/>
      <c r="K172" s="37"/>
      <c r="L172" s="37"/>
      <c r="M172" s="37"/>
      <c r="N172" s="37"/>
      <c r="O172" s="37"/>
      <c r="P172" s="37"/>
      <c r="Q172" s="37"/>
      <c r="R172" s="37"/>
      <c r="S172" s="37"/>
      <c r="T172" s="37"/>
      <c r="U172" s="37"/>
      <c r="V172" s="58">
        <v>200</v>
      </c>
    </row>
    <row r="173" spans="1:26" s="40" customFormat="1" ht="12.75" customHeight="1">
      <c r="A173" s="508" t="s">
        <v>119</v>
      </c>
      <c r="B173" s="435" t="s">
        <v>179</v>
      </c>
      <c r="C173" s="497"/>
      <c r="D173" s="497"/>
      <c r="E173" s="497"/>
      <c r="F173" s="497"/>
      <c r="G173" s="498"/>
      <c r="H173" s="487">
        <v>484</v>
      </c>
      <c r="I173" s="435" t="s">
        <v>257</v>
      </c>
      <c r="J173" s="497"/>
      <c r="K173" s="497"/>
      <c r="L173" s="497"/>
      <c r="M173" s="497"/>
      <c r="N173" s="497"/>
      <c r="O173" s="497"/>
      <c r="P173" s="497"/>
      <c r="Q173" s="497"/>
      <c r="R173" s="497"/>
      <c r="S173" s="497"/>
      <c r="T173" s="497"/>
      <c r="U173" s="497"/>
      <c r="V173" s="510">
        <f>300+400+90+274+100</f>
        <v>1164</v>
      </c>
      <c r="W173" s="8"/>
      <c r="X173" s="8"/>
      <c r="Y173" s="8"/>
      <c r="Z173" s="8"/>
    </row>
    <row r="174" spans="1:26" s="40" customFormat="1" ht="33.75" customHeight="1">
      <c r="A174" s="451"/>
      <c r="B174" s="519"/>
      <c r="C174" s="520"/>
      <c r="D174" s="520"/>
      <c r="E174" s="520"/>
      <c r="F174" s="520"/>
      <c r="G174" s="521"/>
      <c r="H174" s="488"/>
      <c r="I174" s="519"/>
      <c r="J174" s="520"/>
      <c r="K174" s="520"/>
      <c r="L174" s="520"/>
      <c r="M174" s="520"/>
      <c r="N174" s="520"/>
      <c r="O174" s="520"/>
      <c r="P174" s="520"/>
      <c r="Q174" s="520"/>
      <c r="R174" s="520"/>
      <c r="S174" s="520"/>
      <c r="T174" s="520"/>
      <c r="U174" s="520"/>
      <c r="V174" s="453"/>
      <c r="W174" s="8"/>
      <c r="X174" s="8"/>
      <c r="Y174" s="8"/>
      <c r="Z174" s="8"/>
    </row>
    <row r="175" spans="1:22" s="40" customFormat="1" ht="12.75">
      <c r="A175" s="485" t="s">
        <v>120</v>
      </c>
      <c r="B175" s="435" t="s">
        <v>180</v>
      </c>
      <c r="C175" s="436"/>
      <c r="D175" s="436"/>
      <c r="E175" s="436"/>
      <c r="F175" s="436"/>
      <c r="G175" s="437"/>
      <c r="H175" s="452">
        <v>750</v>
      </c>
      <c r="I175" s="644" t="s">
        <v>246</v>
      </c>
      <c r="J175" s="652"/>
      <c r="K175" s="652"/>
      <c r="L175" s="652"/>
      <c r="M175" s="652"/>
      <c r="N175" s="652"/>
      <c r="O175" s="652"/>
      <c r="P175" s="652"/>
      <c r="Q175" s="652"/>
      <c r="R175" s="652"/>
      <c r="S175" s="652"/>
      <c r="T175" s="652"/>
      <c r="U175" s="653"/>
      <c r="V175" s="487">
        <f>147+137</f>
        <v>284</v>
      </c>
    </row>
    <row r="176" spans="1:22" s="40" customFormat="1" ht="42" customHeight="1">
      <c r="A176" s="518"/>
      <c r="B176" s="447"/>
      <c r="C176" s="448"/>
      <c r="D176" s="448"/>
      <c r="E176" s="448"/>
      <c r="F176" s="448"/>
      <c r="G176" s="449"/>
      <c r="H176" s="460"/>
      <c r="I176" s="654"/>
      <c r="J176" s="617"/>
      <c r="K176" s="617"/>
      <c r="L176" s="617"/>
      <c r="M176" s="617"/>
      <c r="N176" s="617"/>
      <c r="O176" s="617"/>
      <c r="P176" s="617"/>
      <c r="Q176" s="617"/>
      <c r="R176" s="617"/>
      <c r="S176" s="617"/>
      <c r="T176" s="617"/>
      <c r="U176" s="618"/>
      <c r="V176" s="512"/>
    </row>
    <row r="177" spans="1:22" s="40" customFormat="1" ht="12.75">
      <c r="A177" s="31" t="s">
        <v>121</v>
      </c>
      <c r="B177" s="36"/>
      <c r="C177" s="37"/>
      <c r="D177" s="37"/>
      <c r="E177" s="37"/>
      <c r="F177" s="37"/>
      <c r="G177" s="37"/>
      <c r="H177" s="38">
        <v>0</v>
      </c>
      <c r="I177" s="36"/>
      <c r="J177" s="37"/>
      <c r="K177" s="37"/>
      <c r="L177" s="37"/>
      <c r="M177" s="37"/>
      <c r="N177" s="37"/>
      <c r="O177" s="37"/>
      <c r="P177" s="37"/>
      <c r="Q177" s="37"/>
      <c r="R177" s="37"/>
      <c r="S177" s="37"/>
      <c r="T177" s="37"/>
      <c r="U177" s="37"/>
      <c r="V177" s="39">
        <v>0</v>
      </c>
    </row>
    <row r="178" spans="1:22" ht="33.75" customHeight="1">
      <c r="A178" s="56" t="s">
        <v>53</v>
      </c>
      <c r="B178" s="435" t="s">
        <v>258</v>
      </c>
      <c r="C178" s="436"/>
      <c r="D178" s="436"/>
      <c r="E178" s="436"/>
      <c r="F178" s="436"/>
      <c r="G178" s="437"/>
      <c r="H178" s="72">
        <f>30+180</f>
        <v>210</v>
      </c>
      <c r="I178" s="68"/>
      <c r="J178" s="73"/>
      <c r="K178" s="73"/>
      <c r="L178" s="73"/>
      <c r="M178" s="73"/>
      <c r="N178" s="73"/>
      <c r="O178" s="73"/>
      <c r="P178" s="73"/>
      <c r="Q178" s="73"/>
      <c r="R178" s="73"/>
      <c r="S178" s="73"/>
      <c r="T178" s="73"/>
      <c r="U178" s="73"/>
      <c r="V178" s="74">
        <v>0</v>
      </c>
    </row>
    <row r="179" spans="1:47" ht="12.75" customHeight="1">
      <c r="A179" s="450" t="s">
        <v>83</v>
      </c>
      <c r="B179" s="454" t="s">
        <v>241</v>
      </c>
      <c r="C179" s="455"/>
      <c r="D179" s="455"/>
      <c r="E179" s="455"/>
      <c r="F179" s="455"/>
      <c r="G179" s="456"/>
      <c r="H179" s="468">
        <v>700</v>
      </c>
      <c r="I179" s="585" t="s">
        <v>259</v>
      </c>
      <c r="J179" s="631"/>
      <c r="K179" s="631"/>
      <c r="L179" s="631"/>
      <c r="M179" s="631"/>
      <c r="N179" s="631"/>
      <c r="O179" s="631"/>
      <c r="P179" s="631"/>
      <c r="Q179" s="631"/>
      <c r="R179" s="631"/>
      <c r="S179" s="631"/>
      <c r="T179" s="631"/>
      <c r="U179" s="631"/>
      <c r="V179" s="468">
        <f>180+250+200</f>
        <v>630</v>
      </c>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row>
    <row r="180" spans="1:22" ht="29.25" customHeight="1">
      <c r="A180" s="451"/>
      <c r="B180" s="457"/>
      <c r="C180" s="458"/>
      <c r="D180" s="458"/>
      <c r="E180" s="458"/>
      <c r="F180" s="458"/>
      <c r="G180" s="459"/>
      <c r="H180" s="469"/>
      <c r="I180" s="678"/>
      <c r="J180" s="679"/>
      <c r="K180" s="679"/>
      <c r="L180" s="679"/>
      <c r="M180" s="679"/>
      <c r="N180" s="679"/>
      <c r="O180" s="679"/>
      <c r="P180" s="679"/>
      <c r="Q180" s="679"/>
      <c r="R180" s="679"/>
      <c r="S180" s="679"/>
      <c r="T180" s="679"/>
      <c r="U180" s="679"/>
      <c r="V180" s="469"/>
    </row>
    <row r="181" spans="1:22" s="40" customFormat="1" ht="12.75" customHeight="1">
      <c r="A181" s="450" t="s">
        <v>127</v>
      </c>
      <c r="B181" s="435"/>
      <c r="C181" s="436"/>
      <c r="D181" s="436"/>
      <c r="E181" s="436"/>
      <c r="F181" s="436"/>
      <c r="G181" s="437"/>
      <c r="H181" s="452">
        <v>0</v>
      </c>
      <c r="I181" s="644" t="s">
        <v>182</v>
      </c>
      <c r="J181" s="645"/>
      <c r="K181" s="645"/>
      <c r="L181" s="645"/>
      <c r="M181" s="645"/>
      <c r="N181" s="645"/>
      <c r="O181" s="645"/>
      <c r="P181" s="645"/>
      <c r="Q181" s="645"/>
      <c r="R181" s="645"/>
      <c r="S181" s="645"/>
      <c r="T181" s="645"/>
      <c r="U181" s="646"/>
      <c r="V181" s="487">
        <v>130</v>
      </c>
    </row>
    <row r="182" spans="1:22" s="40" customFormat="1" ht="12.75" customHeight="1">
      <c r="A182" s="451"/>
      <c r="B182" s="447"/>
      <c r="C182" s="448"/>
      <c r="D182" s="448"/>
      <c r="E182" s="448"/>
      <c r="F182" s="448"/>
      <c r="G182" s="449"/>
      <c r="H182" s="453"/>
      <c r="I182" s="616"/>
      <c r="J182" s="647"/>
      <c r="K182" s="647"/>
      <c r="L182" s="647"/>
      <c r="M182" s="647"/>
      <c r="N182" s="647"/>
      <c r="O182" s="647"/>
      <c r="P182" s="647"/>
      <c r="Q182" s="647"/>
      <c r="R182" s="647"/>
      <c r="S182" s="647"/>
      <c r="T182" s="647"/>
      <c r="U182" s="648"/>
      <c r="V182" s="512"/>
    </row>
    <row r="183" spans="1:22" s="40" customFormat="1" ht="46.5" customHeight="1">
      <c r="A183" s="57" t="s">
        <v>67</v>
      </c>
      <c r="B183" s="683" t="s">
        <v>265</v>
      </c>
      <c r="C183" s="684"/>
      <c r="D183" s="684"/>
      <c r="E183" s="684"/>
      <c r="F183" s="684"/>
      <c r="G183" s="684"/>
      <c r="H183" s="153">
        <v>1140</v>
      </c>
      <c r="I183" s="669" t="s">
        <v>260</v>
      </c>
      <c r="J183" s="669"/>
      <c r="K183" s="669"/>
      <c r="L183" s="669"/>
      <c r="M183" s="669"/>
      <c r="N183" s="669"/>
      <c r="O183" s="669"/>
      <c r="P183" s="669"/>
      <c r="Q183" s="669"/>
      <c r="R183" s="669"/>
      <c r="S183" s="669"/>
      <c r="T183" s="669"/>
      <c r="U183" s="670"/>
      <c r="V183" s="39">
        <v>350</v>
      </c>
    </row>
    <row r="184" spans="1:22" s="40" customFormat="1" ht="12.75">
      <c r="A184" s="450" t="s">
        <v>122</v>
      </c>
      <c r="B184" s="435" t="s">
        <v>242</v>
      </c>
      <c r="C184" s="497"/>
      <c r="D184" s="497"/>
      <c r="E184" s="497"/>
      <c r="F184" s="497"/>
      <c r="G184" s="498"/>
      <c r="H184" s="487">
        <f>200+60+30+120+250+400+220+300+280+200+200</f>
        <v>2260</v>
      </c>
      <c r="I184" s="435" t="s">
        <v>237</v>
      </c>
      <c r="J184" s="436"/>
      <c r="K184" s="436"/>
      <c r="L184" s="436"/>
      <c r="M184" s="436"/>
      <c r="N184" s="436"/>
      <c r="O184" s="436"/>
      <c r="P184" s="436"/>
      <c r="Q184" s="436"/>
      <c r="R184" s="436"/>
      <c r="S184" s="436"/>
      <c r="T184" s="436"/>
      <c r="U184" s="437"/>
      <c r="V184" s="487">
        <v>363</v>
      </c>
    </row>
    <row r="185" spans="1:22" s="40" customFormat="1" ht="101.25" customHeight="1">
      <c r="A185" s="451"/>
      <c r="B185" s="519"/>
      <c r="C185" s="520"/>
      <c r="D185" s="520"/>
      <c r="E185" s="520"/>
      <c r="F185" s="520"/>
      <c r="G185" s="521"/>
      <c r="H185" s="488"/>
      <c r="I185" s="447"/>
      <c r="J185" s="448"/>
      <c r="K185" s="448"/>
      <c r="L185" s="448"/>
      <c r="M185" s="448"/>
      <c r="N185" s="448"/>
      <c r="O185" s="448"/>
      <c r="P185" s="448"/>
      <c r="Q185" s="448"/>
      <c r="R185" s="448"/>
      <c r="S185" s="448"/>
      <c r="T185" s="448"/>
      <c r="U185" s="449"/>
      <c r="V185" s="512"/>
    </row>
    <row r="186" spans="1:22" ht="12.75" customHeight="1">
      <c r="A186" s="450" t="s">
        <v>123</v>
      </c>
      <c r="B186" s="470"/>
      <c r="C186" s="471"/>
      <c r="D186" s="471"/>
      <c r="E186" s="471"/>
      <c r="F186" s="471"/>
      <c r="G186" s="472"/>
      <c r="H186" s="628">
        <v>0</v>
      </c>
      <c r="I186" s="435" t="s">
        <v>185</v>
      </c>
      <c r="J186" s="436"/>
      <c r="K186" s="436"/>
      <c r="L186" s="436"/>
      <c r="M186" s="436"/>
      <c r="N186" s="436"/>
      <c r="O186" s="436"/>
      <c r="P186" s="436"/>
      <c r="Q186" s="436"/>
      <c r="R186" s="436"/>
      <c r="S186" s="436"/>
      <c r="T186" s="436"/>
      <c r="U186" s="437"/>
      <c r="V186" s="628">
        <v>620</v>
      </c>
    </row>
    <row r="187" spans="1:22" ht="12" customHeight="1">
      <c r="A187" s="451"/>
      <c r="B187" s="473"/>
      <c r="C187" s="474"/>
      <c r="D187" s="474"/>
      <c r="E187" s="474"/>
      <c r="F187" s="474"/>
      <c r="G187" s="475"/>
      <c r="H187" s="643"/>
      <c r="I187" s="447"/>
      <c r="J187" s="448"/>
      <c r="K187" s="448"/>
      <c r="L187" s="448"/>
      <c r="M187" s="448"/>
      <c r="N187" s="448"/>
      <c r="O187" s="448"/>
      <c r="P187" s="448"/>
      <c r="Q187" s="448"/>
      <c r="R187" s="448"/>
      <c r="S187" s="448"/>
      <c r="T187" s="448"/>
      <c r="U187" s="449"/>
      <c r="V187" s="512"/>
    </row>
    <row r="188" spans="1:22" s="40" customFormat="1" ht="18.75" customHeight="1">
      <c r="A188" s="50" t="s">
        <v>124</v>
      </c>
      <c r="B188" s="616"/>
      <c r="C188" s="617"/>
      <c r="D188" s="617"/>
      <c r="E188" s="617"/>
      <c r="F188" s="617"/>
      <c r="G188" s="618"/>
      <c r="H188" s="70">
        <v>0</v>
      </c>
      <c r="I188" s="68" t="s">
        <v>187</v>
      </c>
      <c r="J188" s="69"/>
      <c r="K188" s="69"/>
      <c r="L188" s="69"/>
      <c r="M188" s="69"/>
      <c r="N188" s="69"/>
      <c r="O188" s="69"/>
      <c r="P188" s="69"/>
      <c r="Q188" s="69"/>
      <c r="R188" s="69"/>
      <c r="S188" s="69"/>
      <c r="T188" s="69"/>
      <c r="U188" s="69"/>
      <c r="V188" s="59">
        <v>835</v>
      </c>
    </row>
    <row r="189" spans="1:22" s="40" customFormat="1" ht="31.5" customHeight="1">
      <c r="A189" s="31" t="s">
        <v>128</v>
      </c>
      <c r="B189" s="444" t="s">
        <v>236</v>
      </c>
      <c r="C189" s="445"/>
      <c r="D189" s="445"/>
      <c r="E189" s="445"/>
      <c r="F189" s="445"/>
      <c r="G189" s="446"/>
      <c r="H189" s="38">
        <v>200</v>
      </c>
      <c r="I189" s="593" t="s">
        <v>261</v>
      </c>
      <c r="J189" s="639"/>
      <c r="K189" s="639"/>
      <c r="L189" s="639"/>
      <c r="M189" s="639"/>
      <c r="N189" s="639"/>
      <c r="O189" s="639"/>
      <c r="P189" s="639"/>
      <c r="Q189" s="639"/>
      <c r="R189" s="639"/>
      <c r="S189" s="639"/>
      <c r="T189" s="639"/>
      <c r="U189" s="640"/>
      <c r="V189" s="39">
        <v>720</v>
      </c>
    </row>
    <row r="190" spans="1:22" s="40" customFormat="1" ht="12.75" customHeight="1">
      <c r="A190" s="450" t="s">
        <v>125</v>
      </c>
      <c r="B190" s="470"/>
      <c r="C190" s="471"/>
      <c r="D190" s="471"/>
      <c r="E190" s="471"/>
      <c r="F190" s="471"/>
      <c r="G190" s="472"/>
      <c r="H190" s="628">
        <v>0</v>
      </c>
      <c r="I190" s="671" t="s">
        <v>262</v>
      </c>
      <c r="J190" s="672"/>
      <c r="K190" s="672"/>
      <c r="L190" s="672"/>
      <c r="M190" s="672"/>
      <c r="N190" s="672"/>
      <c r="O190" s="672"/>
      <c r="P190" s="672"/>
      <c r="Q190" s="672"/>
      <c r="R190" s="672"/>
      <c r="S190" s="672"/>
      <c r="T190" s="672"/>
      <c r="U190" s="673"/>
      <c r="V190" s="550">
        <v>200</v>
      </c>
    </row>
    <row r="191" spans="1:22" s="40" customFormat="1" ht="12.75" customHeight="1">
      <c r="A191" s="451"/>
      <c r="B191" s="473"/>
      <c r="C191" s="474"/>
      <c r="D191" s="474"/>
      <c r="E191" s="474"/>
      <c r="F191" s="474"/>
      <c r="G191" s="475"/>
      <c r="H191" s="643"/>
      <c r="I191" s="674"/>
      <c r="J191" s="675"/>
      <c r="K191" s="675"/>
      <c r="L191" s="675"/>
      <c r="M191" s="675"/>
      <c r="N191" s="675"/>
      <c r="O191" s="675"/>
      <c r="P191" s="675"/>
      <c r="Q191" s="675"/>
      <c r="R191" s="675"/>
      <c r="S191" s="675"/>
      <c r="T191" s="675"/>
      <c r="U191" s="676"/>
      <c r="V191" s="677"/>
    </row>
    <row r="192" spans="1:22" s="40" customFormat="1" ht="23.25" thickBot="1">
      <c r="A192" s="31" t="s">
        <v>126</v>
      </c>
      <c r="B192" s="36"/>
      <c r="C192" s="37"/>
      <c r="D192" s="37"/>
      <c r="E192" s="37"/>
      <c r="F192" s="37"/>
      <c r="G192" s="37"/>
      <c r="H192" s="38">
        <v>0</v>
      </c>
      <c r="I192" s="36"/>
      <c r="J192" s="37"/>
      <c r="K192" s="37"/>
      <c r="L192" s="37"/>
      <c r="M192" s="37"/>
      <c r="N192" s="37"/>
      <c r="O192" s="37"/>
      <c r="P192" s="37"/>
      <c r="Q192" s="37"/>
      <c r="R192" s="37"/>
      <c r="S192" s="37"/>
      <c r="T192" s="37"/>
      <c r="U192" s="37"/>
      <c r="V192" s="39">
        <v>0</v>
      </c>
    </row>
    <row r="193" spans="1:22" ht="13.5" thickBot="1">
      <c r="A193" s="26" t="s">
        <v>68</v>
      </c>
      <c r="B193" s="27"/>
      <c r="C193" s="28"/>
      <c r="D193" s="28"/>
      <c r="E193" s="28"/>
      <c r="F193" s="28"/>
      <c r="G193" s="28"/>
      <c r="H193" s="29">
        <f>SUM(H194:H217)</f>
        <v>2832</v>
      </c>
      <c r="I193" s="30"/>
      <c r="J193" s="28"/>
      <c r="K193" s="28"/>
      <c r="L193" s="28"/>
      <c r="M193" s="28"/>
      <c r="N193" s="28"/>
      <c r="O193" s="28"/>
      <c r="P193" s="28"/>
      <c r="Q193" s="28"/>
      <c r="R193" s="28"/>
      <c r="S193" s="28"/>
      <c r="T193" s="28"/>
      <c r="U193" s="28"/>
      <c r="V193" s="29">
        <f>SUM(V194:V217)</f>
        <v>10691</v>
      </c>
    </row>
    <row r="194" spans="1:22" s="40" customFormat="1" ht="12.75" customHeight="1">
      <c r="A194" s="478" t="s">
        <v>69</v>
      </c>
      <c r="B194" s="479" t="s">
        <v>152</v>
      </c>
      <c r="C194" s="480"/>
      <c r="D194" s="480"/>
      <c r="E194" s="480"/>
      <c r="F194" s="480"/>
      <c r="G194" s="481"/>
      <c r="H194" s="629">
        <v>100</v>
      </c>
      <c r="I194" s="479" t="s">
        <v>157</v>
      </c>
      <c r="J194" s="480"/>
      <c r="K194" s="480"/>
      <c r="L194" s="480"/>
      <c r="M194" s="480"/>
      <c r="N194" s="480"/>
      <c r="O194" s="480"/>
      <c r="P194" s="480"/>
      <c r="Q194" s="480"/>
      <c r="R194" s="480"/>
      <c r="S194" s="480"/>
      <c r="T194" s="480"/>
      <c r="U194" s="481"/>
      <c r="V194" s="624">
        <v>660</v>
      </c>
    </row>
    <row r="195" spans="1:22" s="40" customFormat="1" ht="19.5" customHeight="1">
      <c r="A195" s="451"/>
      <c r="B195" s="482"/>
      <c r="C195" s="483"/>
      <c r="D195" s="483"/>
      <c r="E195" s="483"/>
      <c r="F195" s="483"/>
      <c r="G195" s="484"/>
      <c r="H195" s="630"/>
      <c r="I195" s="447"/>
      <c r="J195" s="448"/>
      <c r="K195" s="448"/>
      <c r="L195" s="448"/>
      <c r="M195" s="448"/>
      <c r="N195" s="448"/>
      <c r="O195" s="448"/>
      <c r="P195" s="448"/>
      <c r="Q195" s="448"/>
      <c r="R195" s="448"/>
      <c r="S195" s="448"/>
      <c r="T195" s="448"/>
      <c r="U195" s="449"/>
      <c r="V195" s="625"/>
    </row>
    <row r="196" spans="1:22" s="40" customFormat="1" ht="21" customHeight="1">
      <c r="A196" s="141" t="s">
        <v>84</v>
      </c>
      <c r="B196" s="444" t="s">
        <v>199</v>
      </c>
      <c r="C196" s="445"/>
      <c r="D196" s="445"/>
      <c r="E196" s="445"/>
      <c r="F196" s="445"/>
      <c r="G196" s="446"/>
      <c r="H196" s="70">
        <v>550</v>
      </c>
      <c r="I196" s="593" t="s">
        <v>153</v>
      </c>
      <c r="J196" s="626"/>
      <c r="K196" s="626"/>
      <c r="L196" s="626"/>
      <c r="M196" s="626"/>
      <c r="N196" s="626"/>
      <c r="O196" s="626"/>
      <c r="P196" s="626"/>
      <c r="Q196" s="626"/>
      <c r="R196" s="626"/>
      <c r="S196" s="626"/>
      <c r="T196" s="626"/>
      <c r="U196" s="627"/>
      <c r="V196" s="59">
        <f>340+250</f>
        <v>590</v>
      </c>
    </row>
    <row r="197" spans="1:22" s="40" customFormat="1" ht="12.75" customHeight="1">
      <c r="A197" s="450" t="s">
        <v>94</v>
      </c>
      <c r="B197" s="435" t="s">
        <v>250</v>
      </c>
      <c r="C197" s="497"/>
      <c r="D197" s="497"/>
      <c r="E197" s="497"/>
      <c r="F197" s="497"/>
      <c r="G197" s="498"/>
      <c r="H197" s="505">
        <f>220+150</f>
        <v>370</v>
      </c>
      <c r="I197" s="585" t="s">
        <v>252</v>
      </c>
      <c r="J197" s="631"/>
      <c r="K197" s="631"/>
      <c r="L197" s="631"/>
      <c r="M197" s="631"/>
      <c r="N197" s="631"/>
      <c r="O197" s="631"/>
      <c r="P197" s="631"/>
      <c r="Q197" s="631"/>
      <c r="R197" s="631"/>
      <c r="S197" s="631"/>
      <c r="T197" s="631"/>
      <c r="U197" s="632"/>
      <c r="V197" s="505">
        <v>380</v>
      </c>
    </row>
    <row r="198" spans="1:22" s="40" customFormat="1" ht="12.75" customHeight="1">
      <c r="A198" s="508"/>
      <c r="B198" s="499"/>
      <c r="C198" s="500"/>
      <c r="D198" s="500"/>
      <c r="E198" s="500"/>
      <c r="F198" s="500"/>
      <c r="G198" s="501"/>
      <c r="H198" s="506"/>
      <c r="I198" s="633"/>
      <c r="J198" s="634"/>
      <c r="K198" s="634"/>
      <c r="L198" s="634"/>
      <c r="M198" s="634"/>
      <c r="N198" s="634"/>
      <c r="O198" s="634"/>
      <c r="P198" s="634"/>
      <c r="Q198" s="634"/>
      <c r="R198" s="634"/>
      <c r="S198" s="634"/>
      <c r="T198" s="634"/>
      <c r="U198" s="635"/>
      <c r="V198" s="506"/>
    </row>
    <row r="199" spans="1:22" s="40" customFormat="1" ht="32.25" customHeight="1" thickBot="1">
      <c r="A199" s="509"/>
      <c r="B199" s="502"/>
      <c r="C199" s="503"/>
      <c r="D199" s="503"/>
      <c r="E199" s="503"/>
      <c r="F199" s="503"/>
      <c r="G199" s="504"/>
      <c r="H199" s="507"/>
      <c r="I199" s="636"/>
      <c r="J199" s="637"/>
      <c r="K199" s="637"/>
      <c r="L199" s="637"/>
      <c r="M199" s="637"/>
      <c r="N199" s="637"/>
      <c r="O199" s="637"/>
      <c r="P199" s="637"/>
      <c r="Q199" s="637"/>
      <c r="R199" s="637"/>
      <c r="S199" s="637"/>
      <c r="T199" s="637"/>
      <c r="U199" s="638"/>
      <c r="V199" s="507"/>
    </row>
    <row r="200" spans="1:22" s="86" customFormat="1" ht="6.75" customHeight="1">
      <c r="A200" s="81"/>
      <c r="B200" s="82"/>
      <c r="C200" s="79"/>
      <c r="D200" s="79"/>
      <c r="E200" s="79"/>
      <c r="F200" s="79"/>
      <c r="G200" s="79"/>
      <c r="H200" s="83"/>
      <c r="I200" s="84"/>
      <c r="J200" s="79"/>
      <c r="K200" s="79"/>
      <c r="L200" s="79"/>
      <c r="M200" s="79"/>
      <c r="N200" s="79"/>
      <c r="O200" s="79"/>
      <c r="P200" s="79"/>
      <c r="Q200" s="79"/>
      <c r="R200" s="79"/>
      <c r="S200" s="79"/>
      <c r="T200" s="79"/>
      <c r="U200" s="79"/>
      <c r="V200" s="85"/>
    </row>
    <row r="201" spans="1:22" ht="23.25" customHeight="1" thickBot="1">
      <c r="A201" s="461" t="s">
        <v>145</v>
      </c>
      <c r="B201" s="461"/>
      <c r="C201" s="461"/>
      <c r="D201" s="461"/>
      <c r="E201" s="461"/>
      <c r="F201" s="461"/>
      <c r="G201" s="461"/>
      <c r="H201" s="461"/>
      <c r="I201" s="461"/>
      <c r="J201" s="461"/>
      <c r="K201" s="461"/>
      <c r="L201" s="461"/>
      <c r="M201" s="461"/>
      <c r="N201" s="461"/>
      <c r="O201" s="461"/>
      <c r="P201" s="461"/>
      <c r="Q201" s="461"/>
      <c r="R201" s="461"/>
      <c r="S201" s="461"/>
      <c r="T201" s="461"/>
      <c r="U201" s="461"/>
      <c r="V201" s="461"/>
    </row>
    <row r="202" spans="1:34" ht="22.5">
      <c r="A202" s="18" t="s">
        <v>0</v>
      </c>
      <c r="B202" s="139" t="s">
        <v>86</v>
      </c>
      <c r="C202" s="139"/>
      <c r="D202" s="139"/>
      <c r="E202" s="139"/>
      <c r="F202" s="139"/>
      <c r="G202" s="140"/>
      <c r="H202" s="19" t="s">
        <v>29</v>
      </c>
      <c r="I202" s="462" t="s">
        <v>85</v>
      </c>
      <c r="J202" s="463"/>
      <c r="K202" s="463"/>
      <c r="L202" s="463"/>
      <c r="M202" s="463"/>
      <c r="N202" s="463"/>
      <c r="O202" s="463"/>
      <c r="P202" s="463"/>
      <c r="Q202" s="463"/>
      <c r="R202" s="463"/>
      <c r="S202" s="463"/>
      <c r="T202" s="463"/>
      <c r="U202" s="464"/>
      <c r="V202" s="20" t="s">
        <v>29</v>
      </c>
      <c r="W202" s="16"/>
      <c r="X202" s="17"/>
      <c r="Y202" s="489"/>
      <c r="Z202" s="490"/>
      <c r="AC202" s="17"/>
      <c r="AH202" s="17"/>
    </row>
    <row r="203" spans="1:34" ht="13.5" thickBot="1">
      <c r="A203" s="21"/>
      <c r="B203" s="22" t="s">
        <v>61</v>
      </c>
      <c r="C203" s="22"/>
      <c r="D203" s="22"/>
      <c r="E203" s="22"/>
      <c r="F203" s="22"/>
      <c r="G203" s="23"/>
      <c r="H203" s="24" t="s">
        <v>62</v>
      </c>
      <c r="I203" s="465"/>
      <c r="J203" s="466"/>
      <c r="K203" s="466"/>
      <c r="L203" s="466"/>
      <c r="M203" s="466"/>
      <c r="N203" s="466"/>
      <c r="O203" s="466"/>
      <c r="P203" s="466"/>
      <c r="Q203" s="466"/>
      <c r="R203" s="466"/>
      <c r="S203" s="466"/>
      <c r="T203" s="466"/>
      <c r="U203" s="467"/>
      <c r="V203" s="25" t="s">
        <v>63</v>
      </c>
      <c r="W203" s="16"/>
      <c r="X203" s="17"/>
      <c r="Y203" s="489"/>
      <c r="Z203" s="490"/>
      <c r="AC203" s="17"/>
      <c r="AH203" s="17"/>
    </row>
    <row r="204" spans="1:22" ht="24.75" customHeight="1">
      <c r="A204" s="87" t="s">
        <v>34</v>
      </c>
      <c r="B204" s="441" t="s">
        <v>155</v>
      </c>
      <c r="C204" s="442"/>
      <c r="D204" s="442"/>
      <c r="E204" s="442"/>
      <c r="F204" s="442"/>
      <c r="G204" s="443"/>
      <c r="H204" s="54">
        <f>100+110</f>
        <v>210</v>
      </c>
      <c r="I204" s="613" t="s">
        <v>156</v>
      </c>
      <c r="J204" s="614"/>
      <c r="K204" s="614"/>
      <c r="L204" s="614"/>
      <c r="M204" s="614"/>
      <c r="N204" s="614"/>
      <c r="O204" s="614"/>
      <c r="P204" s="614"/>
      <c r="Q204" s="614"/>
      <c r="R204" s="614"/>
      <c r="S204" s="614"/>
      <c r="T204" s="614"/>
      <c r="U204" s="615"/>
      <c r="V204" s="88">
        <v>300</v>
      </c>
    </row>
    <row r="205" spans="1:22" s="40" customFormat="1" ht="12.75" customHeight="1">
      <c r="A205" s="141" t="s">
        <v>88</v>
      </c>
      <c r="B205" s="616"/>
      <c r="C205" s="617"/>
      <c r="D205" s="617"/>
      <c r="E205" s="617"/>
      <c r="F205" s="617"/>
      <c r="G205" s="618"/>
      <c r="H205" s="70">
        <v>0</v>
      </c>
      <c r="I205" s="621" t="s">
        <v>167</v>
      </c>
      <c r="J205" s="622"/>
      <c r="K205" s="622"/>
      <c r="L205" s="622"/>
      <c r="M205" s="622"/>
      <c r="N205" s="622"/>
      <c r="O205" s="622"/>
      <c r="P205" s="622"/>
      <c r="Q205" s="622"/>
      <c r="R205" s="622"/>
      <c r="S205" s="622"/>
      <c r="T205" s="622"/>
      <c r="U205" s="623"/>
      <c r="V205" s="147">
        <f>100+400</f>
        <v>500</v>
      </c>
    </row>
    <row r="206" spans="1:22" s="40" customFormat="1" ht="37.5" customHeight="1">
      <c r="A206" s="141" t="s">
        <v>89</v>
      </c>
      <c r="B206" s="444"/>
      <c r="C206" s="476"/>
      <c r="D206" s="476"/>
      <c r="E206" s="476"/>
      <c r="F206" s="476"/>
      <c r="G206" s="477"/>
      <c r="H206" s="38">
        <v>0</v>
      </c>
      <c r="I206" s="36"/>
      <c r="J206" s="37"/>
      <c r="K206" s="37"/>
      <c r="L206" s="37"/>
      <c r="M206" s="37"/>
      <c r="N206" s="37"/>
      <c r="O206" s="37"/>
      <c r="P206" s="37"/>
      <c r="Q206" s="37"/>
      <c r="R206" s="37"/>
      <c r="S206" s="37"/>
      <c r="T206" s="37"/>
      <c r="U206" s="37"/>
      <c r="V206" s="39">
        <v>0</v>
      </c>
    </row>
    <row r="207" spans="1:22" s="92" customFormat="1" ht="24.75" customHeight="1">
      <c r="A207" s="89" t="s">
        <v>35</v>
      </c>
      <c r="B207" s="547"/>
      <c r="C207" s="619"/>
      <c r="D207" s="619"/>
      <c r="E207" s="619"/>
      <c r="F207" s="619"/>
      <c r="G207" s="620"/>
      <c r="H207" s="90">
        <v>0</v>
      </c>
      <c r="I207" s="547"/>
      <c r="J207" s="548"/>
      <c r="K207" s="548"/>
      <c r="L207" s="548"/>
      <c r="M207" s="548"/>
      <c r="N207" s="548"/>
      <c r="O207" s="548"/>
      <c r="P207" s="548"/>
      <c r="Q207" s="548"/>
      <c r="R207" s="548"/>
      <c r="S207" s="548"/>
      <c r="T207" s="548"/>
      <c r="U207" s="549"/>
      <c r="V207" s="91">
        <v>0</v>
      </c>
    </row>
    <row r="208" spans="1:22" s="40" customFormat="1" ht="12.75" customHeight="1">
      <c r="A208" s="31" t="s">
        <v>36</v>
      </c>
      <c r="B208" s="36"/>
      <c r="C208" s="37"/>
      <c r="D208" s="37"/>
      <c r="E208" s="37"/>
      <c r="F208" s="37"/>
      <c r="G208" s="37"/>
      <c r="H208" s="38">
        <v>0</v>
      </c>
      <c r="I208" s="36" t="s">
        <v>159</v>
      </c>
      <c r="J208" s="37"/>
      <c r="K208" s="37"/>
      <c r="L208" s="37"/>
      <c r="M208" s="37"/>
      <c r="N208" s="37"/>
      <c r="O208" s="37"/>
      <c r="P208" s="37"/>
      <c r="Q208" s="37"/>
      <c r="R208" s="37"/>
      <c r="S208" s="37"/>
      <c r="T208" s="37"/>
      <c r="U208" s="37"/>
      <c r="V208" s="39">
        <f>480+320</f>
        <v>800</v>
      </c>
    </row>
    <row r="209" spans="1:22" s="40" customFormat="1" ht="69.75" customHeight="1">
      <c r="A209" s="31" t="s">
        <v>37</v>
      </c>
      <c r="B209" s="444" t="s">
        <v>266</v>
      </c>
      <c r="C209" s="476"/>
      <c r="D209" s="476"/>
      <c r="E209" s="476"/>
      <c r="F209" s="476"/>
      <c r="G209" s="477"/>
      <c r="H209" s="38">
        <f>100+150+150+600</f>
        <v>1000</v>
      </c>
      <c r="I209" s="444" t="s">
        <v>230</v>
      </c>
      <c r="J209" s="639"/>
      <c r="K209" s="639"/>
      <c r="L209" s="639"/>
      <c r="M209" s="639"/>
      <c r="N209" s="639"/>
      <c r="O209" s="639"/>
      <c r="P209" s="639"/>
      <c r="Q209" s="639"/>
      <c r="R209" s="639"/>
      <c r="S209" s="639"/>
      <c r="T209" s="639"/>
      <c r="U209" s="640"/>
      <c r="V209" s="39">
        <f>350+250</f>
        <v>600</v>
      </c>
    </row>
    <row r="210" spans="1:22" s="40" customFormat="1" ht="19.5" customHeight="1">
      <c r="A210" s="31" t="s">
        <v>90</v>
      </c>
      <c r="B210" s="444"/>
      <c r="C210" s="445"/>
      <c r="D210" s="445"/>
      <c r="E210" s="445"/>
      <c r="F210" s="445"/>
      <c r="G210" s="446"/>
      <c r="H210" s="38">
        <v>0</v>
      </c>
      <c r="I210" s="32"/>
      <c r="J210" s="37"/>
      <c r="K210" s="37"/>
      <c r="L210" s="37"/>
      <c r="M210" s="37"/>
      <c r="N210" s="37"/>
      <c r="O210" s="37"/>
      <c r="P210" s="37"/>
      <c r="Q210" s="37"/>
      <c r="R210" s="37"/>
      <c r="S210" s="37"/>
      <c r="T210" s="37"/>
      <c r="U210" s="37"/>
      <c r="V210" s="39">
        <v>0</v>
      </c>
    </row>
    <row r="211" spans="1:22" s="40" customFormat="1" ht="22.5" customHeight="1">
      <c r="A211" s="148" t="s">
        <v>38</v>
      </c>
      <c r="B211" s="547" t="s">
        <v>247</v>
      </c>
      <c r="C211" s="548"/>
      <c r="D211" s="548"/>
      <c r="E211" s="548"/>
      <c r="F211" s="548"/>
      <c r="G211" s="549"/>
      <c r="H211" s="90">
        <v>202</v>
      </c>
      <c r="I211" s="36"/>
      <c r="J211" s="37"/>
      <c r="K211" s="37"/>
      <c r="L211" s="37"/>
      <c r="M211" s="37"/>
      <c r="N211" s="37"/>
      <c r="O211" s="37"/>
      <c r="P211" s="37"/>
      <c r="Q211" s="37"/>
      <c r="R211" s="37"/>
      <c r="S211" s="37"/>
      <c r="T211" s="37"/>
      <c r="U211" s="37"/>
      <c r="V211" s="39">
        <v>0</v>
      </c>
    </row>
    <row r="212" spans="1:22" s="40" customFormat="1" ht="33.75" customHeight="1">
      <c r="A212" s="55" t="s">
        <v>70</v>
      </c>
      <c r="B212" s="36"/>
      <c r="C212" s="37"/>
      <c r="D212" s="37"/>
      <c r="E212" s="37"/>
      <c r="F212" s="37"/>
      <c r="G212" s="37"/>
      <c r="H212" s="38">
        <v>0</v>
      </c>
      <c r="I212" s="593" t="s">
        <v>253</v>
      </c>
      <c r="J212" s="594"/>
      <c r="K212" s="594"/>
      <c r="L212" s="594"/>
      <c r="M212" s="594"/>
      <c r="N212" s="594"/>
      <c r="O212" s="594"/>
      <c r="P212" s="594"/>
      <c r="Q212" s="594"/>
      <c r="R212" s="594"/>
      <c r="S212" s="594"/>
      <c r="T212" s="594"/>
      <c r="U212" s="595"/>
      <c r="V212" s="39">
        <f>400+3461+50</f>
        <v>3911</v>
      </c>
    </row>
    <row r="213" spans="1:22" s="40" customFormat="1" ht="12.75" customHeight="1">
      <c r="A213" s="55" t="s">
        <v>39</v>
      </c>
      <c r="B213" s="36"/>
      <c r="C213" s="37"/>
      <c r="D213" s="37"/>
      <c r="E213" s="37"/>
      <c r="F213" s="37"/>
      <c r="G213" s="37"/>
      <c r="H213" s="38">
        <v>0</v>
      </c>
      <c r="I213" s="610" t="s">
        <v>163</v>
      </c>
      <c r="J213" s="611"/>
      <c r="K213" s="611"/>
      <c r="L213" s="611"/>
      <c r="M213" s="611"/>
      <c r="N213" s="611"/>
      <c r="O213" s="611"/>
      <c r="P213" s="611"/>
      <c r="Q213" s="611"/>
      <c r="R213" s="611"/>
      <c r="S213" s="611"/>
      <c r="T213" s="611"/>
      <c r="U213" s="612"/>
      <c r="V213" s="39">
        <f>235+75</f>
        <v>310</v>
      </c>
    </row>
    <row r="214" spans="1:22" s="40" customFormat="1" ht="12.75" customHeight="1">
      <c r="A214" s="450" t="s">
        <v>40</v>
      </c>
      <c r="B214" s="435"/>
      <c r="C214" s="497"/>
      <c r="D214" s="497"/>
      <c r="E214" s="497"/>
      <c r="F214" s="497"/>
      <c r="G214" s="498"/>
      <c r="H214" s="487">
        <v>0</v>
      </c>
      <c r="I214" s="599" t="s">
        <v>226</v>
      </c>
      <c r="J214" s="600"/>
      <c r="K214" s="600"/>
      <c r="L214" s="600"/>
      <c r="M214" s="600"/>
      <c r="N214" s="600"/>
      <c r="O214" s="600"/>
      <c r="P214" s="600"/>
      <c r="Q214" s="600"/>
      <c r="R214" s="600"/>
      <c r="S214" s="600"/>
      <c r="T214" s="600"/>
      <c r="U214" s="601"/>
      <c r="V214" s="487">
        <f>100+200+80+380</f>
        <v>760</v>
      </c>
    </row>
    <row r="215" spans="1:22" s="40" customFormat="1" ht="12.75" customHeight="1">
      <c r="A215" s="451"/>
      <c r="B215" s="519"/>
      <c r="C215" s="520"/>
      <c r="D215" s="520"/>
      <c r="E215" s="520"/>
      <c r="F215" s="520"/>
      <c r="G215" s="521"/>
      <c r="H215" s="488"/>
      <c r="I215" s="602"/>
      <c r="J215" s="603"/>
      <c r="K215" s="603"/>
      <c r="L215" s="603"/>
      <c r="M215" s="603"/>
      <c r="N215" s="603"/>
      <c r="O215" s="603"/>
      <c r="P215" s="603"/>
      <c r="Q215" s="603"/>
      <c r="R215" s="603"/>
      <c r="S215" s="603"/>
      <c r="T215" s="603"/>
      <c r="U215" s="604"/>
      <c r="V215" s="488"/>
    </row>
    <row r="216" spans="1:22" s="40" customFormat="1" ht="36.75" customHeight="1">
      <c r="A216" s="142" t="s">
        <v>92</v>
      </c>
      <c r="B216" s="444" t="s">
        <v>251</v>
      </c>
      <c r="C216" s="476"/>
      <c r="D216" s="476"/>
      <c r="E216" s="476"/>
      <c r="F216" s="476"/>
      <c r="G216" s="477"/>
      <c r="H216" s="38">
        <v>400</v>
      </c>
      <c r="I216" s="444" t="s">
        <v>165</v>
      </c>
      <c r="J216" s="476"/>
      <c r="K216" s="476"/>
      <c r="L216" s="476"/>
      <c r="M216" s="476"/>
      <c r="N216" s="476"/>
      <c r="O216" s="476"/>
      <c r="P216" s="476"/>
      <c r="Q216" s="476"/>
      <c r="R216" s="476"/>
      <c r="S216" s="476"/>
      <c r="T216" s="476"/>
      <c r="U216" s="477"/>
      <c r="V216" s="39">
        <f>900+150+250+315</f>
        <v>1615</v>
      </c>
    </row>
    <row r="217" spans="1:22" s="40" customFormat="1" ht="21" customHeight="1" thickBot="1">
      <c r="A217" s="187" t="s">
        <v>93</v>
      </c>
      <c r="B217" s="605"/>
      <c r="C217" s="606"/>
      <c r="D217" s="606"/>
      <c r="E217" s="606"/>
      <c r="F217" s="606"/>
      <c r="G217" s="607"/>
      <c r="H217" s="38">
        <v>0</v>
      </c>
      <c r="I217" s="438" t="s">
        <v>254</v>
      </c>
      <c r="J217" s="608"/>
      <c r="K217" s="608"/>
      <c r="L217" s="608"/>
      <c r="M217" s="608"/>
      <c r="N217" s="608"/>
      <c r="O217" s="608"/>
      <c r="P217" s="608"/>
      <c r="Q217" s="608"/>
      <c r="R217" s="608"/>
      <c r="S217" s="608"/>
      <c r="T217" s="608"/>
      <c r="U217" s="609"/>
      <c r="V217" s="39">
        <f>130+135</f>
        <v>265</v>
      </c>
    </row>
    <row r="218" spans="1:22" s="40" customFormat="1" ht="12.75" customHeight="1" thickBot="1">
      <c r="A218" s="26" t="s">
        <v>41</v>
      </c>
      <c r="B218" s="93"/>
      <c r="C218" s="94"/>
      <c r="D218" s="94"/>
      <c r="E218" s="94"/>
      <c r="F218" s="94"/>
      <c r="G218" s="94"/>
      <c r="H218" s="29">
        <f>SUM(H219)</f>
        <v>0</v>
      </c>
      <c r="I218" s="93"/>
      <c r="J218" s="94"/>
      <c r="K218" s="94"/>
      <c r="L218" s="94"/>
      <c r="M218" s="94"/>
      <c r="N218" s="94"/>
      <c r="O218" s="94"/>
      <c r="P218" s="94"/>
      <c r="Q218" s="94"/>
      <c r="R218" s="94"/>
      <c r="S218" s="94"/>
      <c r="T218" s="94"/>
      <c r="U218" s="95"/>
      <c r="V218" s="29">
        <f>SUM(V219)</f>
        <v>210</v>
      </c>
    </row>
    <row r="219" spans="1:22" s="40" customFormat="1" ht="23.25" customHeight="1" thickBot="1">
      <c r="A219" s="96" t="s">
        <v>131</v>
      </c>
      <c r="B219" s="97"/>
      <c r="C219" s="98"/>
      <c r="D219" s="98"/>
      <c r="E219" s="98"/>
      <c r="F219" s="98"/>
      <c r="G219" s="98"/>
      <c r="H219" s="99">
        <v>0</v>
      </c>
      <c r="I219" s="100" t="s">
        <v>170</v>
      </c>
      <c r="J219" s="98"/>
      <c r="K219" s="98"/>
      <c r="L219" s="98"/>
      <c r="M219" s="98"/>
      <c r="N219" s="98"/>
      <c r="O219" s="98"/>
      <c r="P219" s="98"/>
      <c r="Q219" s="98"/>
      <c r="R219" s="98"/>
      <c r="S219" s="98"/>
      <c r="T219" s="98"/>
      <c r="U219" s="98"/>
      <c r="V219" s="99">
        <v>210</v>
      </c>
    </row>
    <row r="220" spans="1:22" ht="12.75" customHeight="1" thickBot="1">
      <c r="A220" s="101" t="s">
        <v>19</v>
      </c>
      <c r="B220" s="97"/>
      <c r="C220" s="98"/>
      <c r="D220" s="98"/>
      <c r="E220" s="98"/>
      <c r="F220" s="98"/>
      <c r="G220" s="98"/>
      <c r="H220" s="102">
        <f>SUM(H221+H223)</f>
        <v>0</v>
      </c>
      <c r="I220" s="97"/>
      <c r="J220" s="98"/>
      <c r="K220" s="98"/>
      <c r="L220" s="98"/>
      <c r="M220" s="98"/>
      <c r="N220" s="98"/>
      <c r="O220" s="98"/>
      <c r="P220" s="98"/>
      <c r="Q220" s="98"/>
      <c r="R220" s="98"/>
      <c r="S220" s="98"/>
      <c r="T220" s="98"/>
      <c r="U220" s="98"/>
      <c r="V220" s="102">
        <f>SUM(V221)</f>
        <v>9180</v>
      </c>
    </row>
    <row r="221" spans="1:22" ht="12.75" customHeight="1">
      <c r="A221" s="554" t="s">
        <v>71</v>
      </c>
      <c r="B221" s="567"/>
      <c r="C221" s="568"/>
      <c r="D221" s="568"/>
      <c r="E221" s="568"/>
      <c r="F221" s="568"/>
      <c r="G221" s="569"/>
      <c r="H221" s="596">
        <v>0</v>
      </c>
      <c r="I221" s="557" t="s">
        <v>234</v>
      </c>
      <c r="J221" s="558"/>
      <c r="K221" s="558"/>
      <c r="L221" s="558"/>
      <c r="M221" s="558"/>
      <c r="N221" s="558"/>
      <c r="O221" s="558"/>
      <c r="P221" s="558"/>
      <c r="Q221" s="558"/>
      <c r="R221" s="558"/>
      <c r="S221" s="558"/>
      <c r="T221" s="558"/>
      <c r="U221" s="559"/>
      <c r="V221" s="552">
        <v>9180</v>
      </c>
    </row>
    <row r="222" spans="1:22" ht="12.75" customHeight="1" hidden="1">
      <c r="A222" s="555"/>
      <c r="B222" s="570"/>
      <c r="C222" s="571"/>
      <c r="D222" s="571"/>
      <c r="E222" s="571"/>
      <c r="F222" s="571"/>
      <c r="G222" s="572"/>
      <c r="H222" s="597"/>
      <c r="I222" s="560"/>
      <c r="J222" s="561"/>
      <c r="K222" s="561"/>
      <c r="L222" s="561"/>
      <c r="M222" s="561"/>
      <c r="N222" s="561"/>
      <c r="O222" s="561"/>
      <c r="P222" s="561"/>
      <c r="Q222" s="561"/>
      <c r="R222" s="561"/>
      <c r="S222" s="561"/>
      <c r="T222" s="561"/>
      <c r="U222" s="562"/>
      <c r="V222" s="566"/>
    </row>
    <row r="223" spans="1:22" ht="39" customHeight="1" thickBot="1">
      <c r="A223" s="556"/>
      <c r="B223" s="573"/>
      <c r="C223" s="574"/>
      <c r="D223" s="574"/>
      <c r="E223" s="574"/>
      <c r="F223" s="574"/>
      <c r="G223" s="575"/>
      <c r="H223" s="598"/>
      <c r="I223" s="563"/>
      <c r="J223" s="564"/>
      <c r="K223" s="564"/>
      <c r="L223" s="564"/>
      <c r="M223" s="564"/>
      <c r="N223" s="564"/>
      <c r="O223" s="564"/>
      <c r="P223" s="564"/>
      <c r="Q223" s="564"/>
      <c r="R223" s="564"/>
      <c r="S223" s="564"/>
      <c r="T223" s="564"/>
      <c r="U223" s="565"/>
      <c r="V223" s="488"/>
    </row>
    <row r="224" spans="1:22" ht="12.75" customHeight="1" thickBot="1">
      <c r="A224" s="26" t="s">
        <v>72</v>
      </c>
      <c r="B224" s="27"/>
      <c r="C224" s="28"/>
      <c r="D224" s="28"/>
      <c r="E224" s="28"/>
      <c r="F224" s="28"/>
      <c r="G224" s="28"/>
      <c r="H224" s="29">
        <f>SUM(H225+H226+H227+H228+H229)</f>
        <v>0</v>
      </c>
      <c r="I224" s="28"/>
      <c r="J224" s="28"/>
      <c r="K224" s="28"/>
      <c r="L224" s="28"/>
      <c r="M224" s="28"/>
      <c r="N224" s="28"/>
      <c r="O224" s="28"/>
      <c r="P224" s="28"/>
      <c r="Q224" s="28"/>
      <c r="R224" s="28"/>
      <c r="S224" s="28"/>
      <c r="T224" s="28"/>
      <c r="U224" s="28"/>
      <c r="V224" s="29">
        <f>SUM(V225+V226+V227+V228+V229)</f>
        <v>0</v>
      </c>
    </row>
    <row r="225" spans="1:22" ht="12.75" customHeight="1">
      <c r="A225" s="105" t="s">
        <v>133</v>
      </c>
      <c r="B225" s="106"/>
      <c r="C225" s="106"/>
      <c r="D225" s="106"/>
      <c r="E225" s="106"/>
      <c r="F225" s="106"/>
      <c r="G225" s="106"/>
      <c r="H225" s="107">
        <v>0</v>
      </c>
      <c r="I225" s="106"/>
      <c r="J225" s="106"/>
      <c r="K225" s="106"/>
      <c r="L225" s="106"/>
      <c r="M225" s="106"/>
      <c r="N225" s="106"/>
      <c r="O225" s="106"/>
      <c r="P225" s="106"/>
      <c r="Q225" s="106"/>
      <c r="R225" s="106"/>
      <c r="S225" s="106"/>
      <c r="T225" s="106"/>
      <c r="U225" s="106"/>
      <c r="V225" s="88">
        <v>0</v>
      </c>
    </row>
    <row r="226" spans="1:22" ht="12.75">
      <c r="A226" s="108" t="s">
        <v>21</v>
      </c>
      <c r="B226" s="109"/>
      <c r="C226" s="110"/>
      <c r="D226" s="110"/>
      <c r="E226" s="110"/>
      <c r="F226" s="110"/>
      <c r="G226" s="110"/>
      <c r="H226" s="35">
        <v>0</v>
      </c>
      <c r="I226" s="111"/>
      <c r="J226" s="112"/>
      <c r="K226" s="112"/>
      <c r="L226" s="112"/>
      <c r="M226" s="112"/>
      <c r="N226" s="112"/>
      <c r="O226" s="112"/>
      <c r="P226" s="112"/>
      <c r="Q226" s="112"/>
      <c r="R226" s="112"/>
      <c r="S226" s="112"/>
      <c r="T226" s="112"/>
      <c r="U226" s="112"/>
      <c r="V226" s="113">
        <v>0</v>
      </c>
    </row>
    <row r="227" spans="1:22" s="86" customFormat="1" ht="12.75" customHeight="1">
      <c r="A227" s="114" t="s">
        <v>22</v>
      </c>
      <c r="B227" s="115"/>
      <c r="C227" s="116"/>
      <c r="D227" s="116"/>
      <c r="E227" s="116"/>
      <c r="F227" s="116"/>
      <c r="G227" s="116"/>
      <c r="H227" s="70">
        <v>0</v>
      </c>
      <c r="I227" s="117"/>
      <c r="J227" s="118"/>
      <c r="K227" s="118"/>
      <c r="L227" s="118"/>
      <c r="M227" s="118"/>
      <c r="N227" s="118"/>
      <c r="O227" s="118"/>
      <c r="P227" s="118"/>
      <c r="Q227" s="118"/>
      <c r="R227" s="118"/>
      <c r="S227" s="118"/>
      <c r="T227" s="118"/>
      <c r="U227" s="118"/>
      <c r="V227" s="59">
        <v>0</v>
      </c>
    </row>
    <row r="228" spans="1:22" ht="12.75">
      <c r="A228" s="119" t="s">
        <v>23</v>
      </c>
      <c r="B228" s="120"/>
      <c r="C228" s="77"/>
      <c r="D228" s="77"/>
      <c r="E228" s="77"/>
      <c r="F228" s="77"/>
      <c r="G228" s="77"/>
      <c r="H228" s="78">
        <v>0</v>
      </c>
      <c r="I228" s="68"/>
      <c r="J228" s="77"/>
      <c r="K228" s="77"/>
      <c r="L228" s="77"/>
      <c r="M228" s="77"/>
      <c r="N228" s="77"/>
      <c r="O228" s="77"/>
      <c r="P228" s="77"/>
      <c r="Q228" s="77"/>
      <c r="R228" s="77"/>
      <c r="S228" s="77"/>
      <c r="T228" s="77"/>
      <c r="U228" s="77"/>
      <c r="V228" s="72">
        <v>0</v>
      </c>
    </row>
    <row r="229" spans="1:22" ht="13.5" thickBot="1">
      <c r="A229" s="121" t="s">
        <v>33</v>
      </c>
      <c r="B229" s="103"/>
      <c r="C229" s="104"/>
      <c r="D229" s="104"/>
      <c r="E229" s="104"/>
      <c r="F229" s="104"/>
      <c r="G229" s="104"/>
      <c r="H229" s="122">
        <v>0</v>
      </c>
      <c r="I229" s="123"/>
      <c r="J229" s="104"/>
      <c r="K229" s="104"/>
      <c r="L229" s="104"/>
      <c r="M229" s="104"/>
      <c r="N229" s="104"/>
      <c r="O229" s="104"/>
      <c r="P229" s="104"/>
      <c r="Q229" s="104"/>
      <c r="R229" s="104"/>
      <c r="S229" s="104"/>
      <c r="T229" s="104"/>
      <c r="U229" s="104"/>
      <c r="V229" s="80">
        <v>0</v>
      </c>
    </row>
    <row r="230" spans="1:22" ht="13.5" thickBot="1">
      <c r="A230" s="26" t="s">
        <v>24</v>
      </c>
      <c r="B230" s="27"/>
      <c r="C230" s="28"/>
      <c r="D230" s="28"/>
      <c r="E230" s="28"/>
      <c r="F230" s="28"/>
      <c r="G230" s="28"/>
      <c r="H230" s="29">
        <f>SUM(H231:H231)</f>
        <v>227</v>
      </c>
      <c r="I230" s="27"/>
      <c r="J230" s="28"/>
      <c r="K230" s="28"/>
      <c r="L230" s="28"/>
      <c r="M230" s="28"/>
      <c r="N230" s="28"/>
      <c r="O230" s="28"/>
      <c r="P230" s="28"/>
      <c r="Q230" s="28"/>
      <c r="R230" s="28"/>
      <c r="S230" s="28"/>
      <c r="T230" s="28"/>
      <c r="U230" s="28"/>
      <c r="V230" s="29">
        <f>SUM(V231:V231)</f>
        <v>0</v>
      </c>
    </row>
    <row r="231" spans="1:22" ht="12.75">
      <c r="A231" s="554" t="s">
        <v>129</v>
      </c>
      <c r="B231" s="567" t="s">
        <v>191</v>
      </c>
      <c r="C231" s="568"/>
      <c r="D231" s="568"/>
      <c r="E231" s="568"/>
      <c r="F231" s="568"/>
      <c r="G231" s="569"/>
      <c r="H231" s="552">
        <v>227</v>
      </c>
      <c r="I231" s="579"/>
      <c r="J231" s="480"/>
      <c r="K231" s="480"/>
      <c r="L231" s="480"/>
      <c r="M231" s="480"/>
      <c r="N231" s="480"/>
      <c r="O231" s="480"/>
      <c r="P231" s="480"/>
      <c r="Q231" s="480"/>
      <c r="R231" s="480"/>
      <c r="S231" s="480"/>
      <c r="T231" s="480"/>
      <c r="U231" s="481"/>
      <c r="V231" s="624">
        <v>0</v>
      </c>
    </row>
    <row r="232" spans="1:22" ht="34.5" customHeight="1" thickBot="1">
      <c r="A232" s="556"/>
      <c r="B232" s="573"/>
      <c r="C232" s="574"/>
      <c r="D232" s="574"/>
      <c r="E232" s="574"/>
      <c r="F232" s="574"/>
      <c r="G232" s="575"/>
      <c r="H232" s="553"/>
      <c r="I232" s="586"/>
      <c r="J232" s="587"/>
      <c r="K232" s="587"/>
      <c r="L232" s="587"/>
      <c r="M232" s="587"/>
      <c r="N232" s="587"/>
      <c r="O232" s="587"/>
      <c r="P232" s="587"/>
      <c r="Q232" s="587"/>
      <c r="R232" s="587"/>
      <c r="S232" s="587"/>
      <c r="T232" s="587"/>
      <c r="U232" s="588"/>
      <c r="V232" s="551"/>
    </row>
    <row r="233" spans="1:22" ht="13.5" thickBot="1">
      <c r="A233" s="26" t="s">
        <v>73</v>
      </c>
      <c r="B233" s="27"/>
      <c r="C233" s="28"/>
      <c r="D233" s="28"/>
      <c r="E233" s="28"/>
      <c r="F233" s="28"/>
      <c r="G233" s="28"/>
      <c r="H233" s="29">
        <f>SUM(H234:H236)</f>
        <v>0</v>
      </c>
      <c r="I233" s="27"/>
      <c r="J233" s="28"/>
      <c r="K233" s="28"/>
      <c r="L233" s="28"/>
      <c r="M233" s="28"/>
      <c r="N233" s="28"/>
      <c r="O233" s="28"/>
      <c r="P233" s="28"/>
      <c r="Q233" s="28"/>
      <c r="R233" s="28"/>
      <c r="S233" s="28"/>
      <c r="T233" s="28"/>
      <c r="U233" s="28"/>
      <c r="V233" s="29">
        <f>SUM(V234:V236)</f>
        <v>0</v>
      </c>
    </row>
    <row r="234" spans="1:22" ht="12.75">
      <c r="A234" s="126" t="s">
        <v>7</v>
      </c>
      <c r="B234" s="120"/>
      <c r="C234" s="77"/>
      <c r="D234" s="77"/>
      <c r="E234" s="77"/>
      <c r="F234" s="77"/>
      <c r="G234" s="77"/>
      <c r="H234" s="78">
        <v>0</v>
      </c>
      <c r="I234" s="120"/>
      <c r="J234" s="77"/>
      <c r="K234" s="77"/>
      <c r="L234" s="77"/>
      <c r="M234" s="77"/>
      <c r="N234" s="77"/>
      <c r="O234" s="77"/>
      <c r="P234" s="77"/>
      <c r="Q234" s="77"/>
      <c r="R234" s="77"/>
      <c r="S234" s="77"/>
      <c r="T234" s="77"/>
      <c r="U234" s="77"/>
      <c r="V234" s="72">
        <v>0</v>
      </c>
    </row>
    <row r="235" spans="1:22" s="40" customFormat="1" ht="12.75" customHeight="1">
      <c r="A235" s="591" t="s">
        <v>55</v>
      </c>
      <c r="B235" s="585"/>
      <c r="C235" s="436"/>
      <c r="D235" s="436"/>
      <c r="E235" s="436"/>
      <c r="F235" s="436"/>
      <c r="G235" s="437"/>
      <c r="H235" s="589">
        <v>0</v>
      </c>
      <c r="I235" s="585"/>
      <c r="J235" s="436"/>
      <c r="K235" s="436"/>
      <c r="L235" s="436"/>
      <c r="M235" s="436"/>
      <c r="N235" s="436"/>
      <c r="O235" s="436"/>
      <c r="P235" s="436"/>
      <c r="Q235" s="436"/>
      <c r="R235" s="436"/>
      <c r="S235" s="436"/>
      <c r="T235" s="436"/>
      <c r="U235" s="437"/>
      <c r="V235" s="550">
        <v>0</v>
      </c>
    </row>
    <row r="236" spans="1:22" s="40" customFormat="1" ht="13.5" thickBot="1">
      <c r="A236" s="592"/>
      <c r="B236" s="586"/>
      <c r="C236" s="587"/>
      <c r="D236" s="587"/>
      <c r="E236" s="587"/>
      <c r="F236" s="587"/>
      <c r="G236" s="588"/>
      <c r="H236" s="590"/>
      <c r="I236" s="586"/>
      <c r="J236" s="587"/>
      <c r="K236" s="587"/>
      <c r="L236" s="587"/>
      <c r="M236" s="587"/>
      <c r="N236" s="587"/>
      <c r="O236" s="587"/>
      <c r="P236" s="587"/>
      <c r="Q236" s="587"/>
      <c r="R236" s="587"/>
      <c r="S236" s="587"/>
      <c r="T236" s="587"/>
      <c r="U236" s="588"/>
      <c r="V236" s="551"/>
    </row>
    <row r="237" spans="1:22" s="40" customFormat="1" ht="12.75">
      <c r="A237" s="127"/>
      <c r="B237" s="104"/>
      <c r="C237" s="104"/>
      <c r="D237" s="104"/>
      <c r="E237" s="104"/>
      <c r="F237" s="104"/>
      <c r="G237" s="104"/>
      <c r="H237" s="128"/>
      <c r="I237" s="104"/>
      <c r="J237" s="104"/>
      <c r="K237" s="104"/>
      <c r="L237" s="104"/>
      <c r="M237" s="104"/>
      <c r="N237" s="104"/>
      <c r="O237" s="104"/>
      <c r="P237" s="104"/>
      <c r="Q237" s="104"/>
      <c r="R237" s="104"/>
      <c r="S237" s="104"/>
      <c r="T237" s="104"/>
      <c r="U237" s="104"/>
      <c r="V237" s="85"/>
    </row>
    <row r="238" spans="1:34" ht="18.75" thickBot="1">
      <c r="A238" s="461" t="s">
        <v>145</v>
      </c>
      <c r="B238" s="461"/>
      <c r="C238" s="461"/>
      <c r="D238" s="461"/>
      <c r="E238" s="461"/>
      <c r="F238" s="461"/>
      <c r="G238" s="461"/>
      <c r="H238" s="461"/>
      <c r="I238" s="461"/>
      <c r="J238" s="461"/>
      <c r="K238" s="461"/>
      <c r="L238" s="461"/>
      <c r="M238" s="461"/>
      <c r="N238" s="461"/>
      <c r="O238" s="461"/>
      <c r="P238" s="461"/>
      <c r="Q238" s="461"/>
      <c r="R238" s="461"/>
      <c r="S238" s="461"/>
      <c r="T238" s="461"/>
      <c r="U238" s="461"/>
      <c r="V238" s="461"/>
      <c r="W238" s="16"/>
      <c r="X238" s="17"/>
      <c r="Y238" s="489"/>
      <c r="Z238" s="490"/>
      <c r="AC238" s="17"/>
      <c r="AH238" s="17"/>
    </row>
    <row r="239" spans="1:34" ht="22.5">
      <c r="A239" s="18" t="s">
        <v>0</v>
      </c>
      <c r="B239" s="139" t="s">
        <v>86</v>
      </c>
      <c r="C239" s="139"/>
      <c r="D239" s="139"/>
      <c r="E239" s="139"/>
      <c r="F239" s="139"/>
      <c r="G239" s="140"/>
      <c r="H239" s="19" t="s">
        <v>29</v>
      </c>
      <c r="I239" s="462" t="s">
        <v>85</v>
      </c>
      <c r="J239" s="463"/>
      <c r="K239" s="463"/>
      <c r="L239" s="463"/>
      <c r="M239" s="463"/>
      <c r="N239" s="463"/>
      <c r="O239" s="463"/>
      <c r="P239" s="463"/>
      <c r="Q239" s="463"/>
      <c r="R239" s="463"/>
      <c r="S239" s="463"/>
      <c r="T239" s="463"/>
      <c r="U239" s="464"/>
      <c r="V239" s="20" t="s">
        <v>29</v>
      </c>
      <c r="W239" s="16"/>
      <c r="X239" s="17"/>
      <c r="Y239" s="489"/>
      <c r="Z239" s="490"/>
      <c r="AC239" s="17"/>
      <c r="AH239" s="17"/>
    </row>
    <row r="240" spans="1:34" ht="13.5" thickBot="1">
      <c r="A240" s="21"/>
      <c r="B240" s="22" t="s">
        <v>61</v>
      </c>
      <c r="C240" s="22"/>
      <c r="D240" s="22"/>
      <c r="E240" s="22"/>
      <c r="F240" s="22"/>
      <c r="G240" s="23"/>
      <c r="H240" s="24" t="s">
        <v>62</v>
      </c>
      <c r="I240" s="465"/>
      <c r="J240" s="466"/>
      <c r="K240" s="466"/>
      <c r="L240" s="466"/>
      <c r="M240" s="466"/>
      <c r="N240" s="466"/>
      <c r="O240" s="466"/>
      <c r="P240" s="466"/>
      <c r="Q240" s="466"/>
      <c r="R240" s="466"/>
      <c r="S240" s="466"/>
      <c r="T240" s="466"/>
      <c r="U240" s="467"/>
      <c r="V240" s="25" t="s">
        <v>63</v>
      </c>
      <c r="W240" s="16"/>
      <c r="X240" s="17"/>
      <c r="Y240" s="489"/>
      <c r="Z240" s="490"/>
      <c r="AC240" s="17"/>
      <c r="AH240" s="17"/>
    </row>
    <row r="241" spans="1:22" ht="13.5" thickBot="1">
      <c r="A241" s="26" t="s">
        <v>74</v>
      </c>
      <c r="B241" s="27"/>
      <c r="C241" s="28"/>
      <c r="D241" s="28"/>
      <c r="E241" s="28"/>
      <c r="F241" s="28"/>
      <c r="G241" s="28"/>
      <c r="H241" s="29">
        <f>SUM(H242:H242)</f>
        <v>100</v>
      </c>
      <c r="I241" s="27"/>
      <c r="J241" s="28"/>
      <c r="K241" s="28"/>
      <c r="L241" s="28"/>
      <c r="M241" s="28"/>
      <c r="N241" s="28"/>
      <c r="O241" s="28"/>
      <c r="P241" s="28"/>
      <c r="Q241" s="28"/>
      <c r="R241" s="28"/>
      <c r="S241" s="28"/>
      <c r="T241" s="28"/>
      <c r="U241" s="28"/>
      <c r="V241" s="29">
        <f>SUM(V242:V242)</f>
        <v>150</v>
      </c>
    </row>
    <row r="242" spans="1:22" s="40" customFormat="1" ht="13.5" thickBot="1">
      <c r="A242" s="244" t="s">
        <v>113</v>
      </c>
      <c r="B242" s="68" t="s">
        <v>210</v>
      </c>
      <c r="C242" s="69"/>
      <c r="D242" s="69"/>
      <c r="E242" s="69"/>
      <c r="F242" s="69"/>
      <c r="G242" s="69"/>
      <c r="H242" s="70">
        <v>100</v>
      </c>
      <c r="I242" s="68" t="s">
        <v>227</v>
      </c>
      <c r="J242" s="69"/>
      <c r="K242" s="69"/>
      <c r="L242" s="69"/>
      <c r="M242" s="69"/>
      <c r="N242" s="69"/>
      <c r="O242" s="69"/>
      <c r="P242" s="69"/>
      <c r="Q242" s="69"/>
      <c r="R242" s="69"/>
      <c r="S242" s="69"/>
      <c r="T242" s="69"/>
      <c r="U242" s="69"/>
      <c r="V242" s="59">
        <f>45+105</f>
        <v>150</v>
      </c>
    </row>
    <row r="243" spans="1:22" s="40" customFormat="1" ht="13.5" thickBot="1">
      <c r="A243" s="132" t="s">
        <v>75</v>
      </c>
      <c r="B243" s="133"/>
      <c r="C243" s="134"/>
      <c r="D243" s="134"/>
      <c r="E243" s="134"/>
      <c r="F243" s="134"/>
      <c r="G243" s="134"/>
      <c r="H243" s="102">
        <f>SUM(H244)</f>
        <v>0</v>
      </c>
      <c r="I243" s="133"/>
      <c r="J243" s="134"/>
      <c r="K243" s="134"/>
      <c r="L243" s="134"/>
      <c r="M243" s="134"/>
      <c r="N243" s="134"/>
      <c r="O243" s="134"/>
      <c r="P243" s="134"/>
      <c r="Q243" s="134"/>
      <c r="R243" s="134"/>
      <c r="S243" s="134"/>
      <c r="T243" s="134"/>
      <c r="U243" s="134"/>
      <c r="V243" s="102">
        <f>SUM(V244)</f>
        <v>0</v>
      </c>
    </row>
    <row r="244" spans="1:22" s="40" customFormat="1" ht="13.5" thickBot="1">
      <c r="A244" s="121" t="s">
        <v>130</v>
      </c>
      <c r="B244" s="75"/>
      <c r="C244" s="76"/>
      <c r="D244" s="76"/>
      <c r="E244" s="76"/>
      <c r="F244" s="76"/>
      <c r="G244" s="76"/>
      <c r="H244" s="124">
        <v>0</v>
      </c>
      <c r="I244" s="75"/>
      <c r="J244" s="76"/>
      <c r="K244" s="76"/>
      <c r="L244" s="76"/>
      <c r="M244" s="76"/>
      <c r="N244" s="76"/>
      <c r="O244" s="76"/>
      <c r="P244" s="76"/>
      <c r="Q244" s="76"/>
      <c r="R244" s="76"/>
      <c r="S244" s="76"/>
      <c r="T244" s="76"/>
      <c r="U244" s="76"/>
      <c r="V244" s="125">
        <v>0</v>
      </c>
    </row>
    <row r="245" spans="1:22" ht="13.5" thickBot="1">
      <c r="A245" s="132" t="s">
        <v>76</v>
      </c>
      <c r="B245" s="27"/>
      <c r="C245" s="28"/>
      <c r="D245" s="28"/>
      <c r="E245" s="28"/>
      <c r="F245" s="28"/>
      <c r="G245" s="28"/>
      <c r="H245" s="29">
        <f>SUM(H246:H246)</f>
        <v>250</v>
      </c>
      <c r="I245" s="27"/>
      <c r="J245" s="28"/>
      <c r="K245" s="28"/>
      <c r="L245" s="28"/>
      <c r="M245" s="28"/>
      <c r="N245" s="28"/>
      <c r="O245" s="28"/>
      <c r="P245" s="28"/>
      <c r="Q245" s="28"/>
      <c r="R245" s="28"/>
      <c r="S245" s="28"/>
      <c r="T245" s="28"/>
      <c r="U245" s="28"/>
      <c r="V245" s="29">
        <f>SUM(V246:V246)</f>
        <v>0</v>
      </c>
    </row>
    <row r="246" spans="1:22" s="40" customFormat="1" ht="59.25" customHeight="1" thickBot="1">
      <c r="A246" s="245" t="s">
        <v>6</v>
      </c>
      <c r="B246" s="444" t="s">
        <v>211</v>
      </c>
      <c r="C246" s="445"/>
      <c r="D246" s="445"/>
      <c r="E246" s="445"/>
      <c r="F246" s="445"/>
      <c r="G246" s="446"/>
      <c r="H246" s="38">
        <f>30+80+30+70+40</f>
        <v>250</v>
      </c>
      <c r="I246" s="576"/>
      <c r="J246" s="577"/>
      <c r="K246" s="577"/>
      <c r="L246" s="577"/>
      <c r="M246" s="577"/>
      <c r="N246" s="577"/>
      <c r="O246" s="577"/>
      <c r="P246" s="577"/>
      <c r="Q246" s="577"/>
      <c r="R246" s="577"/>
      <c r="S246" s="577"/>
      <c r="T246" s="577"/>
      <c r="U246" s="578"/>
      <c r="V246" s="39">
        <v>0</v>
      </c>
    </row>
    <row r="247" spans="1:22" ht="13.5" thickBot="1">
      <c r="A247" s="132" t="s">
        <v>77</v>
      </c>
      <c r="B247" s="27"/>
      <c r="C247" s="28"/>
      <c r="D247" s="28"/>
      <c r="E247" s="28"/>
      <c r="F247" s="28"/>
      <c r="G247" s="28"/>
      <c r="H247" s="29">
        <f>SUM(H248:H256)</f>
        <v>877</v>
      </c>
      <c r="I247" s="136"/>
      <c r="J247" s="28"/>
      <c r="K247" s="28"/>
      <c r="L247" s="28"/>
      <c r="M247" s="28"/>
      <c r="N247" s="28"/>
      <c r="O247" s="28"/>
      <c r="P247" s="28"/>
      <c r="Q247" s="28"/>
      <c r="R247" s="28"/>
      <c r="S247" s="28"/>
      <c r="T247" s="28"/>
      <c r="U247" s="28"/>
      <c r="V247" s="29">
        <f>SUM(V248:V256)</f>
        <v>590</v>
      </c>
    </row>
    <row r="248" spans="1:22" s="40" customFormat="1" ht="24.75" customHeight="1">
      <c r="A248" s="129" t="s">
        <v>134</v>
      </c>
      <c r="B248" s="441"/>
      <c r="C248" s="442"/>
      <c r="D248" s="442"/>
      <c r="E248" s="442"/>
      <c r="F248" s="442"/>
      <c r="G248" s="443"/>
      <c r="H248" s="70">
        <v>0</v>
      </c>
      <c r="I248" s="68" t="s">
        <v>228</v>
      </c>
      <c r="J248" s="69"/>
      <c r="K248" s="69"/>
      <c r="L248" s="69"/>
      <c r="M248" s="69"/>
      <c r="N248" s="69"/>
      <c r="O248" s="69"/>
      <c r="P248" s="69"/>
      <c r="Q248" s="69"/>
      <c r="R248" s="69"/>
      <c r="S248" s="69"/>
      <c r="T248" s="69"/>
      <c r="U248" s="69"/>
      <c r="V248" s="59">
        <v>300</v>
      </c>
    </row>
    <row r="249" spans="1:22" s="40" customFormat="1" ht="12.75">
      <c r="A249" s="130" t="s">
        <v>135</v>
      </c>
      <c r="B249" s="36"/>
      <c r="C249" s="37"/>
      <c r="D249" s="37"/>
      <c r="E249" s="37"/>
      <c r="F249" s="37"/>
      <c r="G249" s="37"/>
      <c r="H249" s="38">
        <v>0</v>
      </c>
      <c r="I249" s="36"/>
      <c r="J249" s="37"/>
      <c r="K249" s="37"/>
      <c r="L249" s="37"/>
      <c r="M249" s="37"/>
      <c r="N249" s="37"/>
      <c r="O249" s="37"/>
      <c r="P249" s="37"/>
      <c r="Q249" s="37"/>
      <c r="R249" s="37"/>
      <c r="S249" s="37"/>
      <c r="T249" s="37"/>
      <c r="U249" s="37"/>
      <c r="V249" s="39">
        <v>0</v>
      </c>
    </row>
    <row r="250" spans="1:22" s="40" customFormat="1" ht="12.75">
      <c r="A250" s="31" t="s">
        <v>136</v>
      </c>
      <c r="B250" s="68"/>
      <c r="C250" s="69"/>
      <c r="D250" s="69"/>
      <c r="E250" s="69"/>
      <c r="F250" s="69"/>
      <c r="G250" s="69"/>
      <c r="H250" s="70">
        <v>0</v>
      </c>
      <c r="I250" s="68"/>
      <c r="J250" s="69"/>
      <c r="K250" s="69"/>
      <c r="L250" s="69"/>
      <c r="M250" s="69"/>
      <c r="N250" s="69"/>
      <c r="O250" s="69"/>
      <c r="P250" s="69"/>
      <c r="Q250" s="69"/>
      <c r="R250" s="69"/>
      <c r="S250" s="69"/>
      <c r="T250" s="69"/>
      <c r="U250" s="69"/>
      <c r="V250" s="59">
        <v>0</v>
      </c>
    </row>
    <row r="251" spans="1:22" s="40" customFormat="1" ht="12.75">
      <c r="A251" s="129" t="s">
        <v>137</v>
      </c>
      <c r="B251" s="36"/>
      <c r="C251" s="37"/>
      <c r="D251" s="37"/>
      <c r="E251" s="37"/>
      <c r="F251" s="37"/>
      <c r="G251" s="37"/>
      <c r="H251" s="38">
        <v>0</v>
      </c>
      <c r="I251" s="36" t="s">
        <v>172</v>
      </c>
      <c r="J251" s="37"/>
      <c r="K251" s="37"/>
      <c r="L251" s="37"/>
      <c r="M251" s="37"/>
      <c r="N251" s="37"/>
      <c r="O251" s="37"/>
      <c r="P251" s="37"/>
      <c r="Q251" s="37"/>
      <c r="R251" s="37"/>
      <c r="S251" s="37"/>
      <c r="T251" s="37"/>
      <c r="U251" s="37"/>
      <c r="V251" s="39">
        <v>130</v>
      </c>
    </row>
    <row r="252" spans="1:22" s="40" customFormat="1" ht="25.5" customHeight="1">
      <c r="A252" s="55" t="s">
        <v>138</v>
      </c>
      <c r="B252" s="547" t="s">
        <v>212</v>
      </c>
      <c r="C252" s="548"/>
      <c r="D252" s="548"/>
      <c r="E252" s="548"/>
      <c r="F252" s="548"/>
      <c r="G252" s="549"/>
      <c r="H252" s="71">
        <v>302</v>
      </c>
      <c r="I252" s="48" t="s">
        <v>192</v>
      </c>
      <c r="J252" s="131"/>
      <c r="K252" s="131"/>
      <c r="L252" s="131"/>
      <c r="M252" s="131"/>
      <c r="N252" s="131"/>
      <c r="O252" s="131"/>
      <c r="P252" s="131"/>
      <c r="Q252" s="131"/>
      <c r="R252" s="131"/>
      <c r="S252" s="131"/>
      <c r="T252" s="131"/>
      <c r="U252" s="131"/>
      <c r="V252" s="58">
        <v>160</v>
      </c>
    </row>
    <row r="253" spans="1:22" ht="23.25" customHeight="1">
      <c r="A253" s="130" t="s">
        <v>139</v>
      </c>
      <c r="B253" s="444"/>
      <c r="C253" s="476"/>
      <c r="D253" s="476"/>
      <c r="E253" s="476"/>
      <c r="F253" s="476"/>
      <c r="G253" s="477"/>
      <c r="H253" s="34">
        <v>0</v>
      </c>
      <c r="I253" s="51"/>
      <c r="J253" s="33"/>
      <c r="K253" s="33"/>
      <c r="L253" s="33"/>
      <c r="M253" s="33"/>
      <c r="N253" s="33"/>
      <c r="O253" s="33"/>
      <c r="P253" s="33"/>
      <c r="Q253" s="33"/>
      <c r="R253" s="33"/>
      <c r="S253" s="33"/>
      <c r="T253" s="33"/>
      <c r="U253" s="33"/>
      <c r="V253" s="35">
        <v>0</v>
      </c>
    </row>
    <row r="254" spans="1:22" s="40" customFormat="1" ht="22.5" customHeight="1">
      <c r="A254" s="143" t="s">
        <v>140</v>
      </c>
      <c r="B254" s="444" t="s">
        <v>213</v>
      </c>
      <c r="C254" s="476"/>
      <c r="D254" s="476"/>
      <c r="E254" s="476"/>
      <c r="F254" s="476"/>
      <c r="G254" s="477"/>
      <c r="H254" s="38">
        <v>500</v>
      </c>
      <c r="I254" s="36"/>
      <c r="J254" s="37"/>
      <c r="K254" s="37"/>
      <c r="L254" s="37"/>
      <c r="M254" s="37"/>
      <c r="N254" s="37"/>
      <c r="O254" s="37"/>
      <c r="P254" s="37"/>
      <c r="Q254" s="37"/>
      <c r="R254" s="37"/>
      <c r="S254" s="37"/>
      <c r="T254" s="37"/>
      <c r="U254" s="37"/>
      <c r="V254" s="39">
        <v>0</v>
      </c>
    </row>
    <row r="255" spans="1:22" ht="14.25" customHeight="1">
      <c r="A255" s="144" t="s">
        <v>141</v>
      </c>
      <c r="B255" s="131"/>
      <c r="C255" s="46"/>
      <c r="D255" s="46"/>
      <c r="E255" s="46"/>
      <c r="F255" s="46"/>
      <c r="G255" s="46"/>
      <c r="H255" s="47">
        <v>0</v>
      </c>
      <c r="I255" s="48"/>
      <c r="J255" s="46"/>
      <c r="K255" s="46"/>
      <c r="L255" s="46"/>
      <c r="M255" s="46"/>
      <c r="N255" s="46"/>
      <c r="O255" s="46"/>
      <c r="P255" s="46"/>
      <c r="Q255" s="46"/>
      <c r="R255" s="46"/>
      <c r="S255" s="46"/>
      <c r="T255" s="46"/>
      <c r="U255" s="46"/>
      <c r="V255" s="49">
        <v>0</v>
      </c>
    </row>
    <row r="256" spans="1:22" s="40" customFormat="1" ht="16.5" customHeight="1" thickBot="1">
      <c r="A256" s="137" t="s">
        <v>142</v>
      </c>
      <c r="B256" s="61" t="s">
        <v>214</v>
      </c>
      <c r="C256" s="62"/>
      <c r="D256" s="62"/>
      <c r="E256" s="62"/>
      <c r="F256" s="62"/>
      <c r="G256" s="62"/>
      <c r="H256" s="63">
        <v>75</v>
      </c>
      <c r="I256" s="62"/>
      <c r="J256" s="62"/>
      <c r="K256" s="62"/>
      <c r="L256" s="62"/>
      <c r="M256" s="62"/>
      <c r="N256" s="62"/>
      <c r="O256" s="62"/>
      <c r="P256" s="62"/>
      <c r="Q256" s="62"/>
      <c r="R256" s="62"/>
      <c r="S256" s="62"/>
      <c r="T256" s="62"/>
      <c r="U256" s="62"/>
      <c r="V256" s="64">
        <v>0</v>
      </c>
    </row>
    <row r="257" spans="1:22" ht="12" customHeight="1">
      <c r="A257" s="138"/>
      <c r="B257" s="104"/>
      <c r="C257" s="104"/>
      <c r="E257" s="104"/>
      <c r="F257" s="104"/>
      <c r="G257" s="85"/>
      <c r="H257" s="128"/>
      <c r="I257" s="104"/>
      <c r="J257" s="104"/>
      <c r="K257" s="104"/>
      <c r="L257" s="104"/>
      <c r="M257" s="104"/>
      <c r="N257" s="104"/>
      <c r="O257" s="104"/>
      <c r="P257" s="104"/>
      <c r="Q257" s="104"/>
      <c r="R257" s="104"/>
      <c r="S257" s="104"/>
      <c r="T257" s="104"/>
      <c r="U257" s="104"/>
      <c r="V257" s="128"/>
    </row>
  </sheetData>
  <sheetProtection/>
  <mergeCells count="235">
    <mergeCell ref="B178:G178"/>
    <mergeCell ref="B189:G189"/>
    <mergeCell ref="C50:C52"/>
    <mergeCell ref="B50:B52"/>
    <mergeCell ref="B184:G185"/>
    <mergeCell ref="C93:C95"/>
    <mergeCell ref="D93:D95"/>
    <mergeCell ref="E51:E52"/>
    <mergeCell ref="F51:F52"/>
    <mergeCell ref="G51:G52"/>
    <mergeCell ref="H51:H52"/>
    <mergeCell ref="B254:G254"/>
    <mergeCell ref="V154:V155"/>
    <mergeCell ref="I157:U158"/>
    <mergeCell ref="V157:V158"/>
    <mergeCell ref="I231:U232"/>
    <mergeCell ref="V231:V232"/>
    <mergeCell ref="I190:U191"/>
    <mergeCell ref="V190:V191"/>
    <mergeCell ref="I179:U180"/>
    <mergeCell ref="B209:G209"/>
    <mergeCell ref="O119:P119"/>
    <mergeCell ref="A125:V125"/>
    <mergeCell ref="O123:P123"/>
    <mergeCell ref="I123:J123"/>
    <mergeCell ref="I120:J120"/>
    <mergeCell ref="O120:P120"/>
    <mergeCell ref="C119:D119"/>
    <mergeCell ref="I183:U183"/>
    <mergeCell ref="I184:U185"/>
    <mergeCell ref="M50:M52"/>
    <mergeCell ref="K6:K8"/>
    <mergeCell ref="N50:N52"/>
    <mergeCell ref="J50:J52"/>
    <mergeCell ref="K50:K52"/>
    <mergeCell ref="L50:L52"/>
    <mergeCell ref="A48:V48"/>
    <mergeCell ref="Q50:Q52"/>
    <mergeCell ref="P50:P52"/>
    <mergeCell ref="V50:V52"/>
    <mergeCell ref="R1:V1"/>
    <mergeCell ref="R2:V2"/>
    <mergeCell ref="A3:V3"/>
    <mergeCell ref="E7:E8"/>
    <mergeCell ref="O5:R5"/>
    <mergeCell ref="S5:V5"/>
    <mergeCell ref="B6:B8"/>
    <mergeCell ref="Q6:Q8"/>
    <mergeCell ref="H7:H8"/>
    <mergeCell ref="F7:F8"/>
    <mergeCell ref="Y129:Z129"/>
    <mergeCell ref="Y130:Z130"/>
    <mergeCell ref="Y131:Z131"/>
    <mergeCell ref="Y132:Z132"/>
    <mergeCell ref="Y125:Z125"/>
    <mergeCell ref="I126:U127"/>
    <mergeCell ref="Y126:Z126"/>
    <mergeCell ref="Y127:Z127"/>
    <mergeCell ref="V181:V182"/>
    <mergeCell ref="I181:U182"/>
    <mergeCell ref="Y166:Z166"/>
    <mergeCell ref="Y133:Z133"/>
    <mergeCell ref="Y134:Z134"/>
    <mergeCell ref="I147:U147"/>
    <mergeCell ref="I175:U176"/>
    <mergeCell ref="V175:V176"/>
    <mergeCell ref="I173:U174"/>
    <mergeCell ref="V173:V174"/>
    <mergeCell ref="H184:H185"/>
    <mergeCell ref="B183:G183"/>
    <mergeCell ref="H190:H191"/>
    <mergeCell ref="B188:G188"/>
    <mergeCell ref="H186:H187"/>
    <mergeCell ref="V184:V185"/>
    <mergeCell ref="I209:U209"/>
    <mergeCell ref="B210:G210"/>
    <mergeCell ref="V194:V195"/>
    <mergeCell ref="I186:U187"/>
    <mergeCell ref="I196:U196"/>
    <mergeCell ref="V186:V187"/>
    <mergeCell ref="H194:H195"/>
    <mergeCell ref="I194:U195"/>
    <mergeCell ref="I197:U199"/>
    <mergeCell ref="I189:U189"/>
    <mergeCell ref="I204:U204"/>
    <mergeCell ref="B205:G205"/>
    <mergeCell ref="B206:G206"/>
    <mergeCell ref="B207:G207"/>
    <mergeCell ref="I207:U207"/>
    <mergeCell ref="B204:G204"/>
    <mergeCell ref="I205:U205"/>
    <mergeCell ref="B211:G211"/>
    <mergeCell ref="I212:U212"/>
    <mergeCell ref="H221:H223"/>
    <mergeCell ref="A231:A232"/>
    <mergeCell ref="I214:U215"/>
    <mergeCell ref="B217:G217"/>
    <mergeCell ref="I217:U217"/>
    <mergeCell ref="I213:U213"/>
    <mergeCell ref="Y238:Z238"/>
    <mergeCell ref="I239:U240"/>
    <mergeCell ref="Y239:Z239"/>
    <mergeCell ref="Y240:Z240"/>
    <mergeCell ref="V214:V215"/>
    <mergeCell ref="B216:G216"/>
    <mergeCell ref="B214:G215"/>
    <mergeCell ref="H214:H215"/>
    <mergeCell ref="B253:G253"/>
    <mergeCell ref="B248:G248"/>
    <mergeCell ref="B190:G191"/>
    <mergeCell ref="B246:G246"/>
    <mergeCell ref="B231:G232"/>
    <mergeCell ref="A238:V238"/>
    <mergeCell ref="B235:G236"/>
    <mergeCell ref="H235:H236"/>
    <mergeCell ref="I235:U236"/>
    <mergeCell ref="A235:A236"/>
    <mergeCell ref="B252:G252"/>
    <mergeCell ref="V235:V236"/>
    <mergeCell ref="H231:H232"/>
    <mergeCell ref="A221:A223"/>
    <mergeCell ref="I221:U223"/>
    <mergeCell ref="V221:V223"/>
    <mergeCell ref="B221:G223"/>
    <mergeCell ref="I246:U246"/>
    <mergeCell ref="I93:I95"/>
    <mergeCell ref="B93:B95"/>
    <mergeCell ref="P6:P8"/>
    <mergeCell ref="S92:V92"/>
    <mergeCell ref="R6:R8"/>
    <mergeCell ref="R50:R52"/>
    <mergeCell ref="O92:R92"/>
    <mergeCell ref="O50:O52"/>
    <mergeCell ref="S50:S52"/>
    <mergeCell ref="S49:V49"/>
    <mergeCell ref="V6:V8"/>
    <mergeCell ref="C6:C8"/>
    <mergeCell ref="D6:D8"/>
    <mergeCell ref="G7:G8"/>
    <mergeCell ref="I6:I8"/>
    <mergeCell ref="L6:L8"/>
    <mergeCell ref="M6:M8"/>
    <mergeCell ref="N6:N8"/>
    <mergeCell ref="O6:O8"/>
    <mergeCell ref="J6:J8"/>
    <mergeCell ref="T93:T95"/>
    <mergeCell ref="U93:U95"/>
    <mergeCell ref="Q93:Q95"/>
    <mergeCell ref="T6:T8"/>
    <mergeCell ref="U6:U8"/>
    <mergeCell ref="S6:S8"/>
    <mergeCell ref="O49:R49"/>
    <mergeCell ref="U50:U52"/>
    <mergeCell ref="T50:T52"/>
    <mergeCell ref="V93:V95"/>
    <mergeCell ref="A91:V91"/>
    <mergeCell ref="D50:D52"/>
    <mergeCell ref="H94:H95"/>
    <mergeCell ref="J93:J95"/>
    <mergeCell ref="K93:K95"/>
    <mergeCell ref="E94:E95"/>
    <mergeCell ref="F94:F95"/>
    <mergeCell ref="G94:G95"/>
    <mergeCell ref="I50:I52"/>
    <mergeCell ref="L93:L95"/>
    <mergeCell ref="S93:S95"/>
    <mergeCell ref="R93:R95"/>
    <mergeCell ref="P93:P95"/>
    <mergeCell ref="N93:N95"/>
    <mergeCell ref="O93:O95"/>
    <mergeCell ref="M93:M95"/>
    <mergeCell ref="H179:H180"/>
    <mergeCell ref="V168:V169"/>
    <mergeCell ref="A168:A169"/>
    <mergeCell ref="I168:U169"/>
    <mergeCell ref="H168:H169"/>
    <mergeCell ref="B168:G169"/>
    <mergeCell ref="A175:A176"/>
    <mergeCell ref="A173:A174"/>
    <mergeCell ref="B173:G174"/>
    <mergeCell ref="H173:H174"/>
    <mergeCell ref="Y203:Z203"/>
    <mergeCell ref="B197:G199"/>
    <mergeCell ref="H197:H199"/>
    <mergeCell ref="Y202:Z202"/>
    <mergeCell ref="A201:V201"/>
    <mergeCell ref="I202:U203"/>
    <mergeCell ref="A197:A199"/>
    <mergeCell ref="V197:V199"/>
    <mergeCell ref="V150:V151"/>
    <mergeCell ref="B150:G151"/>
    <mergeCell ref="H150:H151"/>
    <mergeCell ref="Y165:Z165"/>
    <mergeCell ref="B159:G160"/>
    <mergeCell ref="H159:H160"/>
    <mergeCell ref="I159:U160"/>
    <mergeCell ref="V159:V160"/>
    <mergeCell ref="B154:G155"/>
    <mergeCell ref="I150:U151"/>
    <mergeCell ref="A150:A151"/>
    <mergeCell ref="B157:G158"/>
    <mergeCell ref="H157:H158"/>
    <mergeCell ref="A154:A155"/>
    <mergeCell ref="H154:H155"/>
    <mergeCell ref="A157:A158"/>
    <mergeCell ref="B156:G156"/>
    <mergeCell ref="A184:A185"/>
    <mergeCell ref="B186:G187"/>
    <mergeCell ref="B181:G182"/>
    <mergeCell ref="I216:U216"/>
    <mergeCell ref="A214:A215"/>
    <mergeCell ref="B196:G196"/>
    <mergeCell ref="A186:A187"/>
    <mergeCell ref="A194:A195"/>
    <mergeCell ref="B194:G195"/>
    <mergeCell ref="A190:A191"/>
    <mergeCell ref="A159:A160"/>
    <mergeCell ref="H181:H182"/>
    <mergeCell ref="A179:A180"/>
    <mergeCell ref="A181:A182"/>
    <mergeCell ref="B179:G180"/>
    <mergeCell ref="B175:G176"/>
    <mergeCell ref="H175:H176"/>
    <mergeCell ref="A164:V164"/>
    <mergeCell ref="I165:U166"/>
    <mergeCell ref="V179:V180"/>
    <mergeCell ref="B161:G161"/>
    <mergeCell ref="I162:U162"/>
    <mergeCell ref="B145:G145"/>
    <mergeCell ref="I145:U145"/>
    <mergeCell ref="B148:G148"/>
    <mergeCell ref="I149:U149"/>
    <mergeCell ref="I154:U155"/>
    <mergeCell ref="I152:U152"/>
    <mergeCell ref="I148:U148"/>
  </mergeCells>
  <printOptions horizontalCentered="1" verticalCentered="1"/>
  <pageMargins left="0.2755905511811024" right="0.2755905511811024" top="0.3937007874015748" bottom="0.35433070866141736" header="0.11811023622047245" footer="0.11811023622047245"/>
  <pageSetup firstPageNumber="1" useFirstPageNumber="1" fitToHeight="4" fitToWidth="1" horizontalDpi="600" verticalDpi="600" orientation="portrait" paperSize="8" scale="68" r:id="rId1"/>
  <headerFooter alignWithMargins="0">
    <oddFooter>&amp;C&amp;P</oddFooter>
  </headerFooter>
  <rowBreaks count="6" manualBreakCount="6">
    <brk id="47" max="21" man="1"/>
    <brk id="90" max="255" man="1"/>
    <brk id="124" max="21" man="1"/>
    <brk id="163" max="21" man="1"/>
    <brk id="200" max="21" man="1"/>
    <brk id="236" max="21" man="1"/>
  </rowBreaks>
</worksheet>
</file>

<file path=xl/worksheets/sheet4.xml><?xml version="1.0" encoding="utf-8"?>
<worksheet xmlns="http://schemas.openxmlformats.org/spreadsheetml/2006/main" xmlns:r="http://schemas.openxmlformats.org/officeDocument/2006/relationships">
  <sheetPr>
    <pageSetUpPr fitToPage="1"/>
  </sheetPr>
  <dimension ref="A1:IV99"/>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J11" sqref="J11"/>
    </sheetView>
  </sheetViews>
  <sheetFormatPr defaultColWidth="9.00390625" defaultRowHeight="12.75"/>
  <cols>
    <col min="1" max="1" width="59.75390625" style="8" customWidth="1"/>
    <col min="2" max="22" width="7.25390625" style="8" customWidth="1"/>
    <col min="23" max="16384" width="9.125" style="8" customWidth="1"/>
  </cols>
  <sheetData>
    <row r="1" spans="1:22" s="367" customFormat="1" ht="12.75" customHeight="1">
      <c r="A1" s="372"/>
      <c r="B1" s="371"/>
      <c r="C1" s="371"/>
      <c r="D1" s="371"/>
      <c r="E1" s="370"/>
      <c r="F1" s="371"/>
      <c r="G1" s="371"/>
      <c r="H1" s="370"/>
      <c r="I1" s="370"/>
      <c r="J1" s="431"/>
      <c r="K1" s="371"/>
      <c r="L1" s="370"/>
      <c r="M1" s="370" t="s">
        <v>16</v>
      </c>
      <c r="N1" s="370"/>
      <c r="O1" s="371"/>
      <c r="P1" s="370"/>
      <c r="Q1" s="370"/>
      <c r="R1" s="432"/>
      <c r="S1" s="422"/>
      <c r="T1" s="422" t="s">
        <v>282</v>
      </c>
      <c r="U1" s="422"/>
      <c r="V1" s="422"/>
    </row>
    <row r="2" spans="1:22" ht="12.75" customHeight="1">
      <c r="A2" s="157"/>
      <c r="B2" s="158" t="s">
        <v>16</v>
      </c>
      <c r="C2" s="158" t="s">
        <v>16</v>
      </c>
      <c r="D2" s="158"/>
      <c r="E2" s="158"/>
      <c r="F2" s="159"/>
      <c r="G2" s="158"/>
      <c r="H2" s="158"/>
      <c r="I2" s="158"/>
      <c r="J2" s="158"/>
      <c r="K2" s="158"/>
      <c r="L2" s="158"/>
      <c r="M2" s="158"/>
      <c r="N2" s="158"/>
      <c r="O2" s="158"/>
      <c r="P2" s="158"/>
      <c r="Q2" s="158"/>
      <c r="R2" s="421"/>
      <c r="S2" s="433"/>
      <c r="T2" s="433" t="s">
        <v>277</v>
      </c>
      <c r="U2" s="250"/>
      <c r="V2" s="250"/>
    </row>
    <row r="3" spans="1:22" ht="16.5" customHeight="1">
      <c r="A3" s="657" t="s">
        <v>267</v>
      </c>
      <c r="B3" s="657"/>
      <c r="C3" s="657"/>
      <c r="D3" s="657"/>
      <c r="E3" s="657"/>
      <c r="F3" s="657"/>
      <c r="G3" s="657"/>
      <c r="H3" s="657"/>
      <c r="I3" s="657"/>
      <c r="J3" s="657"/>
      <c r="K3" s="657"/>
      <c r="L3" s="657"/>
      <c r="M3" s="657"/>
      <c r="N3" s="657"/>
      <c r="O3" s="657"/>
      <c r="P3" s="657"/>
      <c r="Q3" s="657"/>
      <c r="R3" s="657"/>
      <c r="S3" s="657"/>
      <c r="T3" s="657"/>
      <c r="U3" s="657"/>
      <c r="V3" s="657"/>
    </row>
    <row r="4" spans="1:22" ht="15" customHeight="1" thickBot="1">
      <c r="A4" s="160" t="s">
        <v>51</v>
      </c>
      <c r="B4" s="161"/>
      <c r="C4" s="161"/>
      <c r="D4" s="162"/>
      <c r="E4" s="162"/>
      <c r="F4" s="162"/>
      <c r="G4" s="161"/>
      <c r="H4" s="162"/>
      <c r="I4" s="162"/>
      <c r="J4" s="162"/>
      <c r="K4" s="162"/>
      <c r="L4" s="162"/>
      <c r="M4" s="162"/>
      <c r="N4" s="162"/>
      <c r="O4" s="162"/>
      <c r="P4" s="162"/>
      <c r="Q4" s="162"/>
      <c r="R4" s="162"/>
      <c r="S4" s="162"/>
      <c r="T4" s="162"/>
      <c r="U4" s="162"/>
      <c r="V4" s="163" t="s">
        <v>8</v>
      </c>
    </row>
    <row r="5" spans="1:22" ht="12.75">
      <c r="A5" s="685" t="s">
        <v>0</v>
      </c>
      <c r="B5" s="4" t="s">
        <v>9</v>
      </c>
      <c r="C5" s="5"/>
      <c r="D5" s="5"/>
      <c r="E5" s="5"/>
      <c r="F5" s="5"/>
      <c r="G5" s="5"/>
      <c r="H5" s="5"/>
      <c r="I5" s="6"/>
      <c r="J5" s="4" t="s">
        <v>10</v>
      </c>
      <c r="K5" s="5"/>
      <c r="L5" s="7"/>
      <c r="M5" s="5"/>
      <c r="N5" s="6"/>
      <c r="O5" s="542" t="s">
        <v>11</v>
      </c>
      <c r="P5" s="543"/>
      <c r="Q5" s="543"/>
      <c r="R5" s="544"/>
      <c r="S5" s="542" t="s">
        <v>12</v>
      </c>
      <c r="T5" s="545"/>
      <c r="U5" s="545"/>
      <c r="V5" s="546"/>
    </row>
    <row r="6" spans="1:23" s="13" customFormat="1" ht="14.25" customHeight="1">
      <c r="A6" s="686"/>
      <c r="B6" s="525" t="s">
        <v>268</v>
      </c>
      <c r="C6" s="537" t="s">
        <v>269</v>
      </c>
      <c r="D6" s="522" t="s">
        <v>78</v>
      </c>
      <c r="E6" s="10" t="s">
        <v>13</v>
      </c>
      <c r="F6" s="10"/>
      <c r="G6" s="10"/>
      <c r="H6" s="11"/>
      <c r="I6" s="528" t="s">
        <v>270</v>
      </c>
      <c r="J6" s="525" t="s">
        <v>268</v>
      </c>
      <c r="K6" s="537" t="s">
        <v>271</v>
      </c>
      <c r="L6" s="522" t="s">
        <v>80</v>
      </c>
      <c r="M6" s="534" t="s">
        <v>81</v>
      </c>
      <c r="N6" s="528" t="s">
        <v>272</v>
      </c>
      <c r="O6" s="525" t="s">
        <v>273</v>
      </c>
      <c r="P6" s="531" t="s">
        <v>274</v>
      </c>
      <c r="Q6" s="534" t="s">
        <v>81</v>
      </c>
      <c r="R6" s="528" t="s">
        <v>270</v>
      </c>
      <c r="S6" s="525" t="s">
        <v>273</v>
      </c>
      <c r="T6" s="531" t="s">
        <v>274</v>
      </c>
      <c r="U6" s="534" t="s">
        <v>81</v>
      </c>
      <c r="V6" s="528" t="s">
        <v>270</v>
      </c>
      <c r="W6" s="12" t="s">
        <v>16</v>
      </c>
    </row>
    <row r="7" spans="1:22" ht="12.75" customHeight="1">
      <c r="A7" s="686"/>
      <c r="B7" s="526"/>
      <c r="C7" s="538" t="s">
        <v>30</v>
      </c>
      <c r="D7" s="523"/>
      <c r="E7" s="540" t="s">
        <v>87</v>
      </c>
      <c r="F7" s="540" t="s">
        <v>59</v>
      </c>
      <c r="G7" s="540" t="s">
        <v>60</v>
      </c>
      <c r="H7" s="534" t="s">
        <v>79</v>
      </c>
      <c r="I7" s="529"/>
      <c r="J7" s="526"/>
      <c r="K7" s="538" t="s">
        <v>30</v>
      </c>
      <c r="L7" s="523"/>
      <c r="M7" s="535"/>
      <c r="N7" s="529"/>
      <c r="O7" s="526"/>
      <c r="P7" s="532"/>
      <c r="Q7" s="535"/>
      <c r="R7" s="529"/>
      <c r="S7" s="526"/>
      <c r="T7" s="532"/>
      <c r="U7" s="535"/>
      <c r="V7" s="529"/>
    </row>
    <row r="8" spans="1:22" ht="53.25" customHeight="1" thickBot="1">
      <c r="A8" s="687"/>
      <c r="B8" s="527"/>
      <c r="C8" s="539" t="s">
        <v>58</v>
      </c>
      <c r="D8" s="524"/>
      <c r="E8" s="541"/>
      <c r="F8" s="541"/>
      <c r="G8" s="541"/>
      <c r="H8" s="536"/>
      <c r="I8" s="530"/>
      <c r="J8" s="527"/>
      <c r="K8" s="539" t="s">
        <v>58</v>
      </c>
      <c r="L8" s="524"/>
      <c r="M8" s="536"/>
      <c r="N8" s="530"/>
      <c r="O8" s="527"/>
      <c r="P8" s="533"/>
      <c r="Q8" s="536"/>
      <c r="R8" s="530"/>
      <c r="S8" s="527"/>
      <c r="T8" s="533"/>
      <c r="U8" s="536"/>
      <c r="V8" s="530"/>
    </row>
    <row r="9" spans="1:22" s="42" customFormat="1" ht="13.5" thickBot="1">
      <c r="A9" s="164" t="s">
        <v>245</v>
      </c>
      <c r="B9" s="165">
        <f>SUM(B10+B25+B40+B58+B75+B77+B79+B85+B87+B89)</f>
        <v>54242</v>
      </c>
      <c r="C9" s="165">
        <f aca="true" t="shared" si="0" ref="C9:V9">SUM(C10+C25+C40+C58+C75+C77+C79+C85+C87+C89)</f>
        <v>46447</v>
      </c>
      <c r="D9" s="165">
        <f t="shared" si="0"/>
        <v>77502</v>
      </c>
      <c r="E9" s="165">
        <f t="shared" si="0"/>
        <v>31689</v>
      </c>
      <c r="F9" s="165">
        <f t="shared" si="0"/>
        <v>7401</v>
      </c>
      <c r="G9" s="165">
        <f t="shared" si="0"/>
        <v>14277</v>
      </c>
      <c r="H9" s="165">
        <f t="shared" si="0"/>
        <v>85646</v>
      </c>
      <c r="I9" s="165">
        <f t="shared" si="0"/>
        <v>46098</v>
      </c>
      <c r="J9" s="165">
        <f t="shared" si="0"/>
        <v>40047</v>
      </c>
      <c r="K9" s="165">
        <f t="shared" si="0"/>
        <v>32813</v>
      </c>
      <c r="L9" s="165">
        <f t="shared" si="0"/>
        <v>11018</v>
      </c>
      <c r="M9" s="165">
        <f t="shared" si="0"/>
        <v>20058</v>
      </c>
      <c r="N9" s="165">
        <f t="shared" si="0"/>
        <v>31007</v>
      </c>
      <c r="O9" s="165">
        <f t="shared" si="0"/>
        <v>21757</v>
      </c>
      <c r="P9" s="165">
        <f t="shared" si="0"/>
        <v>20726</v>
      </c>
      <c r="Q9" s="165">
        <f t="shared" si="0"/>
        <v>13931</v>
      </c>
      <c r="R9" s="165">
        <f t="shared" si="0"/>
        <v>7826</v>
      </c>
      <c r="S9" s="165">
        <f t="shared" si="0"/>
        <v>13350</v>
      </c>
      <c r="T9" s="165">
        <f t="shared" si="0"/>
        <v>13448</v>
      </c>
      <c r="U9" s="165">
        <f t="shared" si="0"/>
        <v>5828</v>
      </c>
      <c r="V9" s="165">
        <f t="shared" si="0"/>
        <v>7522</v>
      </c>
    </row>
    <row r="10" spans="1:22" s="86" customFormat="1" ht="13.5" thickBot="1">
      <c r="A10" s="166" t="s">
        <v>278</v>
      </c>
      <c r="B10" s="167">
        <f aca="true" t="shared" si="1" ref="B10:V10">SUM(B11:B24)</f>
        <v>2341</v>
      </c>
      <c r="C10" s="165">
        <f t="shared" si="1"/>
        <v>2341</v>
      </c>
      <c r="D10" s="165">
        <f t="shared" si="1"/>
        <v>1495</v>
      </c>
      <c r="E10" s="165">
        <f t="shared" si="1"/>
        <v>141</v>
      </c>
      <c r="F10" s="165">
        <f t="shared" si="1"/>
        <v>0</v>
      </c>
      <c r="G10" s="165">
        <f t="shared" si="1"/>
        <v>0</v>
      </c>
      <c r="H10" s="165">
        <f t="shared" si="1"/>
        <v>863</v>
      </c>
      <c r="I10" s="29">
        <f t="shared" si="1"/>
        <v>2973</v>
      </c>
      <c r="J10" s="167">
        <f t="shared" si="1"/>
        <v>1680</v>
      </c>
      <c r="K10" s="165">
        <f t="shared" si="1"/>
        <v>1664</v>
      </c>
      <c r="L10" s="165">
        <f t="shared" si="1"/>
        <v>412</v>
      </c>
      <c r="M10" s="165">
        <f t="shared" si="1"/>
        <v>1106</v>
      </c>
      <c r="N10" s="29">
        <f t="shared" si="1"/>
        <v>986</v>
      </c>
      <c r="O10" s="167">
        <f t="shared" si="1"/>
        <v>1407</v>
      </c>
      <c r="P10" s="165">
        <f t="shared" si="1"/>
        <v>1398</v>
      </c>
      <c r="Q10" s="165">
        <f t="shared" si="1"/>
        <v>911</v>
      </c>
      <c r="R10" s="29">
        <f t="shared" si="1"/>
        <v>496</v>
      </c>
      <c r="S10" s="167">
        <f t="shared" si="1"/>
        <v>194</v>
      </c>
      <c r="T10" s="165">
        <f t="shared" si="1"/>
        <v>194</v>
      </c>
      <c r="U10" s="165">
        <f t="shared" si="1"/>
        <v>79</v>
      </c>
      <c r="V10" s="29">
        <f t="shared" si="1"/>
        <v>115</v>
      </c>
    </row>
    <row r="11" spans="1:22" s="40" customFormat="1" ht="19.5" customHeight="1">
      <c r="A11" s="141" t="s">
        <v>104</v>
      </c>
      <c r="B11" s="168">
        <v>64</v>
      </c>
      <c r="C11" s="169">
        <v>64</v>
      </c>
      <c r="D11" s="169">
        <v>6</v>
      </c>
      <c r="E11" s="170">
        <v>0</v>
      </c>
      <c r="F11" s="170">
        <v>0</v>
      </c>
      <c r="G11" s="170">
        <v>0</v>
      </c>
      <c r="H11" s="171">
        <v>24</v>
      </c>
      <c r="I11" s="38">
        <f>B11+D11-H11</f>
        <v>46</v>
      </c>
      <c r="J11" s="168">
        <f>71+18</f>
        <v>89</v>
      </c>
      <c r="K11" s="169">
        <v>89</v>
      </c>
      <c r="L11" s="169">
        <v>0</v>
      </c>
      <c r="M11" s="170">
        <v>18</v>
      </c>
      <c r="N11" s="171">
        <f>J11+L11-M11</f>
        <v>71</v>
      </c>
      <c r="O11" s="168">
        <v>40</v>
      </c>
      <c r="P11" s="169">
        <v>42</v>
      </c>
      <c r="Q11" s="170">
        <v>40</v>
      </c>
      <c r="R11" s="38">
        <f>O11-Q11</f>
        <v>0</v>
      </c>
      <c r="S11" s="168">
        <f>23</f>
        <v>23</v>
      </c>
      <c r="T11" s="169">
        <v>23</v>
      </c>
      <c r="U11" s="170">
        <v>0</v>
      </c>
      <c r="V11" s="38">
        <f>S11-U11</f>
        <v>23</v>
      </c>
    </row>
    <row r="12" spans="1:23" s="40" customFormat="1" ht="19.5" customHeight="1">
      <c r="A12" s="141" t="s">
        <v>114</v>
      </c>
      <c r="B12" s="168">
        <v>5</v>
      </c>
      <c r="C12" s="169">
        <v>5</v>
      </c>
      <c r="D12" s="169">
        <v>382</v>
      </c>
      <c r="E12" s="170">
        <v>0</v>
      </c>
      <c r="F12" s="170">
        <v>0</v>
      </c>
      <c r="G12" s="170">
        <v>0</v>
      </c>
      <c r="H12" s="171">
        <v>251</v>
      </c>
      <c r="I12" s="38">
        <f aca="true" t="shared" si="2" ref="I12:I24">B12+D12-H12</f>
        <v>136</v>
      </c>
      <c r="J12" s="168">
        <v>209</v>
      </c>
      <c r="K12" s="169">
        <v>209</v>
      </c>
      <c r="L12" s="169">
        <v>1</v>
      </c>
      <c r="M12" s="170">
        <v>67</v>
      </c>
      <c r="N12" s="171">
        <f aca="true" t="shared" si="3" ref="N12:N24">J12+L12-M12</f>
        <v>143</v>
      </c>
      <c r="O12" s="168">
        <f>23+85</f>
        <v>108</v>
      </c>
      <c r="P12" s="169">
        <v>108</v>
      </c>
      <c r="Q12" s="170">
        <v>108</v>
      </c>
      <c r="R12" s="38">
        <f aca="true" t="shared" si="4" ref="R12:R24">O12-Q12</f>
        <v>0</v>
      </c>
      <c r="S12" s="168">
        <v>0</v>
      </c>
      <c r="T12" s="169">
        <v>0</v>
      </c>
      <c r="U12" s="170">
        <v>0</v>
      </c>
      <c r="V12" s="38">
        <f aca="true" t="shared" si="5" ref="V12:V24">S12-U12</f>
        <v>0</v>
      </c>
      <c r="W12" s="172"/>
    </row>
    <row r="13" spans="1:23" ht="19.5" customHeight="1">
      <c r="A13" s="173" t="s">
        <v>42</v>
      </c>
      <c r="B13" s="168">
        <v>371</v>
      </c>
      <c r="C13" s="169">
        <v>371</v>
      </c>
      <c r="D13" s="169">
        <v>34</v>
      </c>
      <c r="E13" s="170">
        <v>0</v>
      </c>
      <c r="F13" s="170">
        <v>0</v>
      </c>
      <c r="G13" s="170">
        <v>0</v>
      </c>
      <c r="H13" s="171">
        <v>0</v>
      </c>
      <c r="I13" s="38">
        <f t="shared" si="2"/>
        <v>405</v>
      </c>
      <c r="J13" s="168">
        <v>4</v>
      </c>
      <c r="K13" s="169">
        <v>4</v>
      </c>
      <c r="L13" s="169">
        <v>6</v>
      </c>
      <c r="M13" s="170">
        <v>0</v>
      </c>
      <c r="N13" s="171">
        <f t="shared" si="3"/>
        <v>10</v>
      </c>
      <c r="O13" s="168">
        <f>50+51</f>
        <v>101</v>
      </c>
      <c r="P13" s="169">
        <v>101</v>
      </c>
      <c r="Q13" s="170">
        <v>85</v>
      </c>
      <c r="R13" s="38">
        <f t="shared" si="4"/>
        <v>16</v>
      </c>
      <c r="S13" s="168">
        <v>0</v>
      </c>
      <c r="T13" s="169">
        <v>0</v>
      </c>
      <c r="U13" s="170">
        <v>0</v>
      </c>
      <c r="V13" s="38">
        <f t="shared" si="5"/>
        <v>0</v>
      </c>
      <c r="W13" s="40"/>
    </row>
    <row r="14" spans="1:23" s="40" customFormat="1" ht="19.5" customHeight="1">
      <c r="A14" s="141" t="s">
        <v>105</v>
      </c>
      <c r="B14" s="168">
        <v>52</v>
      </c>
      <c r="C14" s="169">
        <v>52</v>
      </c>
      <c r="D14" s="169">
        <v>82</v>
      </c>
      <c r="E14" s="170">
        <v>0</v>
      </c>
      <c r="F14" s="170">
        <v>0</v>
      </c>
      <c r="G14" s="170">
        <v>0</v>
      </c>
      <c r="H14" s="171">
        <v>70</v>
      </c>
      <c r="I14" s="38">
        <f t="shared" si="2"/>
        <v>64</v>
      </c>
      <c r="J14" s="168">
        <v>361</v>
      </c>
      <c r="K14" s="169">
        <v>361</v>
      </c>
      <c r="L14" s="169">
        <v>245</v>
      </c>
      <c r="M14" s="170">
        <v>497</v>
      </c>
      <c r="N14" s="171">
        <f t="shared" si="3"/>
        <v>109</v>
      </c>
      <c r="O14" s="168">
        <v>245</v>
      </c>
      <c r="P14" s="169">
        <v>245</v>
      </c>
      <c r="Q14" s="170">
        <v>90</v>
      </c>
      <c r="R14" s="38">
        <f t="shared" si="4"/>
        <v>155</v>
      </c>
      <c r="S14" s="168">
        <v>0</v>
      </c>
      <c r="T14" s="169">
        <v>0</v>
      </c>
      <c r="U14" s="170">
        <v>0</v>
      </c>
      <c r="V14" s="38">
        <f t="shared" si="5"/>
        <v>0</v>
      </c>
      <c r="W14" s="172"/>
    </row>
    <row r="15" spans="1:22" s="40" customFormat="1" ht="19.5" customHeight="1">
      <c r="A15" s="141" t="s">
        <v>57</v>
      </c>
      <c r="B15" s="168">
        <v>0</v>
      </c>
      <c r="C15" s="169">
        <v>0</v>
      </c>
      <c r="D15" s="169">
        <v>0</v>
      </c>
      <c r="E15" s="170">
        <v>0</v>
      </c>
      <c r="F15" s="170">
        <v>0</v>
      </c>
      <c r="G15" s="170">
        <v>0</v>
      </c>
      <c r="H15" s="171">
        <v>0</v>
      </c>
      <c r="I15" s="38">
        <f t="shared" si="2"/>
        <v>0</v>
      </c>
      <c r="J15" s="168">
        <v>44</v>
      </c>
      <c r="K15" s="169">
        <v>44</v>
      </c>
      <c r="L15" s="169">
        <v>0</v>
      </c>
      <c r="M15" s="170">
        <f>35+8</f>
        <v>43</v>
      </c>
      <c r="N15" s="171">
        <f t="shared" si="3"/>
        <v>1</v>
      </c>
      <c r="O15" s="168">
        <f>43+20</f>
        <v>63</v>
      </c>
      <c r="P15" s="169">
        <v>63</v>
      </c>
      <c r="Q15" s="170">
        <v>20</v>
      </c>
      <c r="R15" s="38">
        <f t="shared" si="4"/>
        <v>43</v>
      </c>
      <c r="S15" s="168">
        <v>0</v>
      </c>
      <c r="T15" s="169">
        <v>0</v>
      </c>
      <c r="U15" s="170">
        <v>0</v>
      </c>
      <c r="V15" s="38">
        <f t="shared" si="5"/>
        <v>0</v>
      </c>
    </row>
    <row r="16" spans="1:22" s="40" customFormat="1" ht="19.5" customHeight="1">
      <c r="A16" s="141" t="s">
        <v>106</v>
      </c>
      <c r="B16" s="168">
        <v>84</v>
      </c>
      <c r="C16" s="169">
        <v>84</v>
      </c>
      <c r="D16" s="169">
        <v>21</v>
      </c>
      <c r="E16" s="170">
        <v>0</v>
      </c>
      <c r="F16" s="170">
        <v>0</v>
      </c>
      <c r="G16" s="170">
        <v>0</v>
      </c>
      <c r="H16" s="171">
        <v>0</v>
      </c>
      <c r="I16" s="38">
        <f t="shared" si="2"/>
        <v>105</v>
      </c>
      <c r="J16" s="168">
        <v>53</v>
      </c>
      <c r="K16" s="169">
        <v>53</v>
      </c>
      <c r="L16" s="169">
        <v>1</v>
      </c>
      <c r="M16" s="170">
        <v>50</v>
      </c>
      <c r="N16" s="171">
        <f t="shared" si="3"/>
        <v>4</v>
      </c>
      <c r="O16" s="168">
        <f>74+60</f>
        <v>134</v>
      </c>
      <c r="P16" s="169">
        <v>134</v>
      </c>
      <c r="Q16" s="170">
        <v>76</v>
      </c>
      <c r="R16" s="38">
        <f t="shared" si="4"/>
        <v>58</v>
      </c>
      <c r="S16" s="168">
        <v>0</v>
      </c>
      <c r="T16" s="169">
        <v>0</v>
      </c>
      <c r="U16" s="170">
        <v>0</v>
      </c>
      <c r="V16" s="38">
        <f t="shared" si="5"/>
        <v>0</v>
      </c>
    </row>
    <row r="17" spans="1:23" s="40" customFormat="1" ht="19.5" customHeight="1">
      <c r="A17" s="141" t="s">
        <v>275</v>
      </c>
      <c r="B17" s="168">
        <v>109</v>
      </c>
      <c r="C17" s="169">
        <v>109</v>
      </c>
      <c r="D17" s="169">
        <v>18</v>
      </c>
      <c r="E17" s="170">
        <v>0</v>
      </c>
      <c r="F17" s="170">
        <v>0</v>
      </c>
      <c r="G17" s="170">
        <v>0</v>
      </c>
      <c r="H17" s="171">
        <v>0</v>
      </c>
      <c r="I17" s="38">
        <f t="shared" si="2"/>
        <v>127</v>
      </c>
      <c r="J17" s="168">
        <v>247</v>
      </c>
      <c r="K17" s="169">
        <v>247</v>
      </c>
      <c r="L17" s="169">
        <v>8</v>
      </c>
      <c r="M17" s="170">
        <v>215</v>
      </c>
      <c r="N17" s="171">
        <f t="shared" si="3"/>
        <v>40</v>
      </c>
      <c r="O17" s="168">
        <f>56+72</f>
        <v>128</v>
      </c>
      <c r="P17" s="169">
        <v>128</v>
      </c>
      <c r="Q17" s="170">
        <v>60</v>
      </c>
      <c r="R17" s="38">
        <f t="shared" si="4"/>
        <v>68</v>
      </c>
      <c r="S17" s="168">
        <v>0</v>
      </c>
      <c r="T17" s="169">
        <v>0</v>
      </c>
      <c r="U17" s="170">
        <v>0</v>
      </c>
      <c r="V17" s="38">
        <f t="shared" si="5"/>
        <v>0</v>
      </c>
      <c r="W17" s="174"/>
    </row>
    <row r="18" spans="1:23" s="40" customFormat="1" ht="19.5" customHeight="1">
      <c r="A18" s="141" t="s">
        <v>111</v>
      </c>
      <c r="B18" s="168">
        <v>240</v>
      </c>
      <c r="C18" s="169">
        <v>240</v>
      </c>
      <c r="D18" s="169">
        <v>111</v>
      </c>
      <c r="E18" s="170">
        <v>71</v>
      </c>
      <c r="F18" s="170">
        <v>0</v>
      </c>
      <c r="G18" s="170">
        <v>0</v>
      </c>
      <c r="H18" s="171">
        <f>71+12</f>
        <v>83</v>
      </c>
      <c r="I18" s="38">
        <f t="shared" si="2"/>
        <v>268</v>
      </c>
      <c r="J18" s="168">
        <f>42+29</f>
        <v>71</v>
      </c>
      <c r="K18" s="169">
        <v>71</v>
      </c>
      <c r="L18" s="169">
        <v>10</v>
      </c>
      <c r="M18" s="170">
        <v>29</v>
      </c>
      <c r="N18" s="171">
        <f t="shared" si="3"/>
        <v>52</v>
      </c>
      <c r="O18" s="168">
        <v>151</v>
      </c>
      <c r="P18" s="169">
        <v>151</v>
      </c>
      <c r="Q18" s="170">
        <v>151</v>
      </c>
      <c r="R18" s="38">
        <f t="shared" si="4"/>
        <v>0</v>
      </c>
      <c r="S18" s="168">
        <f>25+3</f>
        <v>28</v>
      </c>
      <c r="T18" s="169">
        <v>28</v>
      </c>
      <c r="U18" s="170">
        <v>0</v>
      </c>
      <c r="V18" s="38">
        <f t="shared" si="5"/>
        <v>28</v>
      </c>
      <c r="W18" s="172"/>
    </row>
    <row r="19" spans="1:22" s="40" customFormat="1" ht="19.5" customHeight="1">
      <c r="A19" s="141" t="s">
        <v>112</v>
      </c>
      <c r="B19" s="168">
        <v>146</v>
      </c>
      <c r="C19" s="169">
        <v>146</v>
      </c>
      <c r="D19" s="169">
        <v>49</v>
      </c>
      <c r="E19" s="170">
        <v>70</v>
      </c>
      <c r="F19" s="170">
        <v>0</v>
      </c>
      <c r="G19" s="170">
        <v>0</v>
      </c>
      <c r="H19" s="171">
        <v>70</v>
      </c>
      <c r="I19" s="38">
        <f t="shared" si="2"/>
        <v>125</v>
      </c>
      <c r="J19" s="168">
        <v>67</v>
      </c>
      <c r="K19" s="169">
        <v>67</v>
      </c>
      <c r="L19" s="169">
        <v>58</v>
      </c>
      <c r="M19" s="170">
        <f>65+23</f>
        <v>88</v>
      </c>
      <c r="N19" s="171">
        <f t="shared" si="3"/>
        <v>37</v>
      </c>
      <c r="O19" s="168">
        <f>70+55</f>
        <v>125</v>
      </c>
      <c r="P19" s="169">
        <v>125</v>
      </c>
      <c r="Q19" s="170">
        <v>70</v>
      </c>
      <c r="R19" s="38">
        <f t="shared" si="4"/>
        <v>55</v>
      </c>
      <c r="S19" s="168">
        <v>22</v>
      </c>
      <c r="T19" s="169">
        <v>22</v>
      </c>
      <c r="U19" s="170">
        <v>22</v>
      </c>
      <c r="V19" s="38">
        <f t="shared" si="5"/>
        <v>0</v>
      </c>
    </row>
    <row r="20" spans="1:22" s="40" customFormat="1" ht="19.5" customHeight="1">
      <c r="A20" s="141" t="s">
        <v>168</v>
      </c>
      <c r="B20" s="168">
        <v>116</v>
      </c>
      <c r="C20" s="170">
        <v>116</v>
      </c>
      <c r="D20" s="170">
        <v>15</v>
      </c>
      <c r="E20" s="170">
        <v>0</v>
      </c>
      <c r="F20" s="170">
        <v>0</v>
      </c>
      <c r="G20" s="170">
        <v>0</v>
      </c>
      <c r="H20" s="170">
        <v>0</v>
      </c>
      <c r="I20" s="38">
        <f t="shared" si="2"/>
        <v>131</v>
      </c>
      <c r="J20" s="169">
        <f>348+8</f>
        <v>356</v>
      </c>
      <c r="K20" s="169">
        <v>356</v>
      </c>
      <c r="L20" s="169">
        <v>43</v>
      </c>
      <c r="M20" s="170">
        <v>55</v>
      </c>
      <c r="N20" s="171">
        <f t="shared" si="3"/>
        <v>344</v>
      </c>
      <c r="O20" s="168">
        <f>14+34</f>
        <v>48</v>
      </c>
      <c r="P20" s="169">
        <v>48</v>
      </c>
      <c r="Q20" s="170">
        <v>48</v>
      </c>
      <c r="R20" s="38">
        <f t="shared" si="4"/>
        <v>0</v>
      </c>
      <c r="S20" s="168">
        <f>52+9</f>
        <v>61</v>
      </c>
      <c r="T20" s="170">
        <v>61</v>
      </c>
      <c r="U20" s="170">
        <v>50</v>
      </c>
      <c r="V20" s="38">
        <f t="shared" si="5"/>
        <v>11</v>
      </c>
    </row>
    <row r="21" spans="1:22" s="40" customFormat="1" ht="19.5" customHeight="1">
      <c r="A21" s="141" t="s">
        <v>107</v>
      </c>
      <c r="B21" s="168">
        <v>1054</v>
      </c>
      <c r="C21" s="170">
        <v>1054</v>
      </c>
      <c r="D21" s="170">
        <v>370</v>
      </c>
      <c r="E21" s="170">
        <v>0</v>
      </c>
      <c r="F21" s="170">
        <v>0</v>
      </c>
      <c r="G21" s="170">
        <v>0</v>
      </c>
      <c r="H21" s="170">
        <v>1</v>
      </c>
      <c r="I21" s="171">
        <f t="shared" si="2"/>
        <v>1423</v>
      </c>
      <c r="J21" s="168">
        <v>21</v>
      </c>
      <c r="K21" s="170">
        <v>21</v>
      </c>
      <c r="L21" s="170">
        <v>10</v>
      </c>
      <c r="M21" s="170">
        <v>0</v>
      </c>
      <c r="N21" s="171">
        <f t="shared" si="3"/>
        <v>31</v>
      </c>
      <c r="O21" s="168">
        <f>8+23</f>
        <v>31</v>
      </c>
      <c r="P21" s="170">
        <v>31</v>
      </c>
      <c r="Q21" s="170">
        <v>25</v>
      </c>
      <c r="R21" s="38">
        <f t="shared" si="4"/>
        <v>6</v>
      </c>
      <c r="S21" s="168">
        <v>38</v>
      </c>
      <c r="T21" s="170">
        <v>38</v>
      </c>
      <c r="U21" s="170">
        <v>5</v>
      </c>
      <c r="V21" s="38">
        <f t="shared" si="5"/>
        <v>33</v>
      </c>
    </row>
    <row r="22" spans="1:22" s="40" customFormat="1" ht="19.5" customHeight="1">
      <c r="A22" s="141" t="s">
        <v>108</v>
      </c>
      <c r="B22" s="175">
        <v>0</v>
      </c>
      <c r="C22" s="176">
        <v>0</v>
      </c>
      <c r="D22" s="176">
        <v>0</v>
      </c>
      <c r="E22" s="177">
        <v>0</v>
      </c>
      <c r="F22" s="177">
        <v>0</v>
      </c>
      <c r="G22" s="177">
        <v>0</v>
      </c>
      <c r="H22" s="178">
        <v>0</v>
      </c>
      <c r="I22" s="70">
        <f t="shared" si="2"/>
        <v>0</v>
      </c>
      <c r="J22" s="175">
        <v>0</v>
      </c>
      <c r="K22" s="176">
        <v>0</v>
      </c>
      <c r="L22" s="176">
        <v>1</v>
      </c>
      <c r="M22" s="177">
        <v>0</v>
      </c>
      <c r="N22" s="178">
        <f t="shared" si="3"/>
        <v>1</v>
      </c>
      <c r="O22" s="175">
        <f>5+24</f>
        <v>29</v>
      </c>
      <c r="P22" s="176">
        <v>29</v>
      </c>
      <c r="Q22" s="177">
        <v>29</v>
      </c>
      <c r="R22" s="38">
        <f t="shared" si="4"/>
        <v>0</v>
      </c>
      <c r="S22" s="175">
        <v>0</v>
      </c>
      <c r="T22" s="176">
        <v>0</v>
      </c>
      <c r="U22" s="177">
        <v>0</v>
      </c>
      <c r="V22" s="70">
        <f t="shared" si="5"/>
        <v>0</v>
      </c>
    </row>
    <row r="23" spans="1:54" s="386" customFormat="1" ht="19.5" customHeight="1">
      <c r="A23" s="379" t="s">
        <v>109</v>
      </c>
      <c r="B23" s="380">
        <v>11</v>
      </c>
      <c r="C23" s="381">
        <v>11</v>
      </c>
      <c r="D23" s="381">
        <v>3</v>
      </c>
      <c r="E23" s="382">
        <v>0</v>
      </c>
      <c r="F23" s="382">
        <v>0</v>
      </c>
      <c r="G23" s="382">
        <v>0</v>
      </c>
      <c r="H23" s="383">
        <v>0</v>
      </c>
      <c r="I23" s="384">
        <f t="shared" si="2"/>
        <v>14</v>
      </c>
      <c r="J23" s="380">
        <v>26</v>
      </c>
      <c r="K23" s="381">
        <v>10</v>
      </c>
      <c r="L23" s="381">
        <v>7</v>
      </c>
      <c r="M23" s="382">
        <v>24</v>
      </c>
      <c r="N23" s="383">
        <f t="shared" si="3"/>
        <v>9</v>
      </c>
      <c r="O23" s="380">
        <v>32</v>
      </c>
      <c r="P23" s="381">
        <v>29</v>
      </c>
      <c r="Q23" s="382">
        <v>20</v>
      </c>
      <c r="R23" s="384">
        <f t="shared" si="4"/>
        <v>12</v>
      </c>
      <c r="S23" s="380">
        <v>7</v>
      </c>
      <c r="T23" s="381">
        <v>7</v>
      </c>
      <c r="U23" s="382">
        <v>2</v>
      </c>
      <c r="V23" s="384">
        <f t="shared" si="5"/>
        <v>5</v>
      </c>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row>
    <row r="24" spans="1:22" s="179" customFormat="1" ht="19.5" customHeight="1" thickBot="1">
      <c r="A24" s="180" t="s">
        <v>110</v>
      </c>
      <c r="B24" s="175">
        <v>89</v>
      </c>
      <c r="C24" s="176">
        <v>89</v>
      </c>
      <c r="D24" s="177">
        <v>404</v>
      </c>
      <c r="E24" s="177">
        <v>0</v>
      </c>
      <c r="F24" s="177">
        <v>0</v>
      </c>
      <c r="G24" s="177">
        <v>0</v>
      </c>
      <c r="H24" s="177">
        <v>364</v>
      </c>
      <c r="I24" s="70">
        <f t="shared" si="2"/>
        <v>129</v>
      </c>
      <c r="J24" s="175">
        <f>33+99</f>
        <v>132</v>
      </c>
      <c r="K24" s="176">
        <v>132</v>
      </c>
      <c r="L24" s="177">
        <v>22</v>
      </c>
      <c r="M24" s="177">
        <v>20</v>
      </c>
      <c r="N24" s="70">
        <f t="shared" si="3"/>
        <v>134</v>
      </c>
      <c r="O24" s="175">
        <f>91+81</f>
        <v>172</v>
      </c>
      <c r="P24" s="176">
        <f>83+81</f>
        <v>164</v>
      </c>
      <c r="Q24" s="177">
        <v>89</v>
      </c>
      <c r="R24" s="38">
        <f t="shared" si="4"/>
        <v>83</v>
      </c>
      <c r="S24" s="175">
        <v>15</v>
      </c>
      <c r="T24" s="176">
        <v>15</v>
      </c>
      <c r="U24" s="177">
        <v>0</v>
      </c>
      <c r="V24" s="70">
        <f t="shared" si="5"/>
        <v>15</v>
      </c>
    </row>
    <row r="25" spans="1:54" ht="19.5" customHeight="1" thickBot="1">
      <c r="A25" s="164" t="s">
        <v>279</v>
      </c>
      <c r="B25" s="167">
        <f>SUM(B26:B39)</f>
        <v>11931</v>
      </c>
      <c r="C25" s="165">
        <f aca="true" t="shared" si="6" ref="C25:V25">SUM(C26:C39)</f>
        <v>11878</v>
      </c>
      <c r="D25" s="165">
        <f t="shared" si="6"/>
        <v>12048</v>
      </c>
      <c r="E25" s="165">
        <f t="shared" si="6"/>
        <v>1657</v>
      </c>
      <c r="F25" s="165">
        <f t="shared" si="6"/>
        <v>535</v>
      </c>
      <c r="G25" s="165">
        <f t="shared" si="6"/>
        <v>2742</v>
      </c>
      <c r="H25" s="165">
        <f t="shared" si="6"/>
        <v>12514</v>
      </c>
      <c r="I25" s="29">
        <f t="shared" si="6"/>
        <v>11465</v>
      </c>
      <c r="J25" s="167">
        <f t="shared" si="6"/>
        <v>4427</v>
      </c>
      <c r="K25" s="165">
        <f t="shared" si="6"/>
        <v>4427</v>
      </c>
      <c r="L25" s="165">
        <f t="shared" si="6"/>
        <v>792</v>
      </c>
      <c r="M25" s="165">
        <f t="shared" si="6"/>
        <v>2000</v>
      </c>
      <c r="N25" s="29">
        <f t="shared" si="6"/>
        <v>3219</v>
      </c>
      <c r="O25" s="167">
        <f t="shared" si="6"/>
        <v>4144</v>
      </c>
      <c r="P25" s="165">
        <f t="shared" si="6"/>
        <v>4134</v>
      </c>
      <c r="Q25" s="165">
        <f t="shared" si="6"/>
        <v>2769</v>
      </c>
      <c r="R25" s="29">
        <f t="shared" si="6"/>
        <v>1375</v>
      </c>
      <c r="S25" s="167">
        <f t="shared" si="6"/>
        <v>1057</v>
      </c>
      <c r="T25" s="165">
        <f t="shared" si="6"/>
        <v>1057</v>
      </c>
      <c r="U25" s="165">
        <f t="shared" si="6"/>
        <v>295</v>
      </c>
      <c r="V25" s="29">
        <f t="shared" si="6"/>
        <v>762</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9.5" customHeight="1">
      <c r="A26" s="316" t="s">
        <v>65</v>
      </c>
      <c r="B26" s="317">
        <v>50</v>
      </c>
      <c r="C26" s="318">
        <v>50</v>
      </c>
      <c r="D26" s="318">
        <v>542</v>
      </c>
      <c r="E26" s="319">
        <v>160</v>
      </c>
      <c r="F26" s="319">
        <v>0</v>
      </c>
      <c r="G26" s="319">
        <v>80</v>
      </c>
      <c r="H26" s="320">
        <f>330+E26+F26+G26</f>
        <v>570</v>
      </c>
      <c r="I26" s="321">
        <f aca="true" t="shared" si="7" ref="I26:I39">B26+D26-H26</f>
        <v>22</v>
      </c>
      <c r="J26" s="317">
        <v>35</v>
      </c>
      <c r="K26" s="318">
        <v>35</v>
      </c>
      <c r="L26" s="318">
        <f>19+10</f>
        <v>29</v>
      </c>
      <c r="M26" s="319">
        <f>45</f>
        <v>45</v>
      </c>
      <c r="N26" s="320">
        <f aca="true" t="shared" si="8" ref="N26:N39">J26+L26-M26</f>
        <v>19</v>
      </c>
      <c r="O26" s="317">
        <f>140+49</f>
        <v>189</v>
      </c>
      <c r="P26" s="318">
        <f>140+49</f>
        <v>189</v>
      </c>
      <c r="Q26" s="319">
        <v>156</v>
      </c>
      <c r="R26" s="321">
        <f aca="true" t="shared" si="9" ref="R26:R39">O26-Q26</f>
        <v>33</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9.5" customHeight="1">
      <c r="A27" s="325" t="s">
        <v>1</v>
      </c>
      <c r="B27" s="326">
        <v>436</v>
      </c>
      <c r="C27" s="327">
        <v>436</v>
      </c>
      <c r="D27" s="327">
        <v>1440</v>
      </c>
      <c r="E27" s="328">
        <v>177</v>
      </c>
      <c r="F27" s="328">
        <v>0</v>
      </c>
      <c r="G27" s="328">
        <v>380</v>
      </c>
      <c r="H27" s="329">
        <f>1064+E27+F27+G27</f>
        <v>1621</v>
      </c>
      <c r="I27" s="330">
        <f t="shared" si="7"/>
        <v>255</v>
      </c>
      <c r="J27" s="326">
        <v>79</v>
      </c>
      <c r="K27" s="327">
        <v>79</v>
      </c>
      <c r="L27" s="327">
        <v>51</v>
      </c>
      <c r="M27" s="328">
        <v>0</v>
      </c>
      <c r="N27" s="329">
        <f t="shared" si="8"/>
        <v>130</v>
      </c>
      <c r="O27" s="326">
        <f>105+35</f>
        <v>140</v>
      </c>
      <c r="P27" s="327">
        <f>105+38</f>
        <v>143</v>
      </c>
      <c r="Q27" s="328">
        <v>107</v>
      </c>
      <c r="R27" s="330">
        <f t="shared" si="9"/>
        <v>33</v>
      </c>
      <c r="S27" s="326">
        <f>45+7</f>
        <v>52</v>
      </c>
      <c r="T27" s="327">
        <f>45+7</f>
        <v>52</v>
      </c>
      <c r="U27" s="328">
        <v>0</v>
      </c>
      <c r="V27" s="330">
        <f t="shared" si="10"/>
        <v>52</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9.5" customHeight="1">
      <c r="A28" s="325" t="s">
        <v>143</v>
      </c>
      <c r="B28" s="326">
        <v>1243</v>
      </c>
      <c r="C28" s="327">
        <v>1243</v>
      </c>
      <c r="D28" s="327">
        <v>1815</v>
      </c>
      <c r="E28" s="328">
        <v>190</v>
      </c>
      <c r="F28" s="328">
        <v>150</v>
      </c>
      <c r="G28" s="328">
        <v>600</v>
      </c>
      <c r="H28" s="329">
        <f>901+E28+F28+G28</f>
        <v>1841</v>
      </c>
      <c r="I28" s="330">
        <f t="shared" si="7"/>
        <v>1217</v>
      </c>
      <c r="J28" s="326">
        <v>175</v>
      </c>
      <c r="K28" s="327">
        <v>175</v>
      </c>
      <c r="L28" s="327">
        <v>72</v>
      </c>
      <c r="M28" s="328">
        <v>5</v>
      </c>
      <c r="N28" s="329">
        <f t="shared" si="8"/>
        <v>242</v>
      </c>
      <c r="O28" s="326">
        <f>200+293</f>
        <v>493</v>
      </c>
      <c r="P28" s="327">
        <v>474</v>
      </c>
      <c r="Q28" s="328">
        <v>433</v>
      </c>
      <c r="R28" s="330">
        <f t="shared" si="9"/>
        <v>60</v>
      </c>
      <c r="S28" s="326">
        <v>60</v>
      </c>
      <c r="T28" s="327">
        <v>60</v>
      </c>
      <c r="U28" s="328">
        <v>0</v>
      </c>
      <c r="V28" s="330">
        <f t="shared" si="10"/>
        <v>60</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9.5" customHeight="1">
      <c r="A29" s="325" t="s">
        <v>2</v>
      </c>
      <c r="B29" s="331">
        <f>970</f>
        <v>970</v>
      </c>
      <c r="C29" s="332">
        <v>917</v>
      </c>
      <c r="D29" s="332">
        <v>745</v>
      </c>
      <c r="E29" s="333">
        <v>250</v>
      </c>
      <c r="F29" s="333">
        <v>150</v>
      </c>
      <c r="G29" s="333">
        <v>350</v>
      </c>
      <c r="H29" s="334">
        <f>460+E29+F29+G29</f>
        <v>1210</v>
      </c>
      <c r="I29" s="335">
        <f t="shared" si="7"/>
        <v>505</v>
      </c>
      <c r="J29" s="326">
        <v>113</v>
      </c>
      <c r="K29" s="394">
        <v>113</v>
      </c>
      <c r="L29" s="327">
        <v>65</v>
      </c>
      <c r="M29" s="328">
        <v>50</v>
      </c>
      <c r="N29" s="329">
        <f t="shared" si="8"/>
        <v>128</v>
      </c>
      <c r="O29" s="326">
        <f>254+36</f>
        <v>290</v>
      </c>
      <c r="P29" s="327">
        <v>300</v>
      </c>
      <c r="Q29" s="328">
        <v>279</v>
      </c>
      <c r="R29" s="330">
        <f t="shared" si="9"/>
        <v>11</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9.5" customHeight="1">
      <c r="A30" s="325" t="s">
        <v>96</v>
      </c>
      <c r="B30" s="326">
        <v>7375</v>
      </c>
      <c r="C30" s="327">
        <v>7375</v>
      </c>
      <c r="D30" s="327">
        <v>2012</v>
      </c>
      <c r="E30" s="328">
        <v>500</v>
      </c>
      <c r="F30" s="328">
        <v>0</v>
      </c>
      <c r="G30" s="328">
        <v>0</v>
      </c>
      <c r="H30" s="329">
        <f>852+E30+F30+G30</f>
        <v>1352</v>
      </c>
      <c r="I30" s="330">
        <f t="shared" si="7"/>
        <v>8035</v>
      </c>
      <c r="J30" s="326">
        <v>1533</v>
      </c>
      <c r="K30" s="394">
        <v>1533</v>
      </c>
      <c r="L30" s="327">
        <v>369</v>
      </c>
      <c r="M30" s="328">
        <v>300</v>
      </c>
      <c r="N30" s="329">
        <f t="shared" si="8"/>
        <v>1602</v>
      </c>
      <c r="O30" s="326">
        <f>150+388</f>
        <v>538</v>
      </c>
      <c r="P30" s="327">
        <v>538</v>
      </c>
      <c r="Q30" s="328">
        <v>190</v>
      </c>
      <c r="R30" s="330">
        <f t="shared" si="9"/>
        <v>348</v>
      </c>
      <c r="S30" s="326">
        <f>122+398</f>
        <v>520</v>
      </c>
      <c r="T30" s="327">
        <f>122+398</f>
        <v>520</v>
      </c>
      <c r="U30" s="328">
        <v>0</v>
      </c>
      <c r="V30" s="330">
        <f t="shared" si="10"/>
        <v>520</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9.5" customHeight="1">
      <c r="A31" s="325" t="s">
        <v>98</v>
      </c>
      <c r="B31" s="326">
        <v>186</v>
      </c>
      <c r="C31" s="327">
        <v>186</v>
      </c>
      <c r="D31" s="327">
        <v>698</v>
      </c>
      <c r="E31" s="328">
        <v>300</v>
      </c>
      <c r="F31" s="328">
        <v>0</v>
      </c>
      <c r="G31" s="328">
        <v>160</v>
      </c>
      <c r="H31" s="329">
        <f>345+E31+F31+G31</f>
        <v>805</v>
      </c>
      <c r="I31" s="330">
        <f t="shared" si="7"/>
        <v>79</v>
      </c>
      <c r="J31" s="326">
        <f>169+386</f>
        <v>555</v>
      </c>
      <c r="K31" s="327">
        <f>169+386</f>
        <v>555</v>
      </c>
      <c r="L31" s="327">
        <v>53</v>
      </c>
      <c r="M31" s="328">
        <f>140+50</f>
        <v>190</v>
      </c>
      <c r="N31" s="329">
        <f t="shared" si="8"/>
        <v>418</v>
      </c>
      <c r="O31" s="326">
        <f>90+166</f>
        <v>256</v>
      </c>
      <c r="P31" s="327">
        <v>256</v>
      </c>
      <c r="Q31" s="328">
        <v>248</v>
      </c>
      <c r="R31" s="330">
        <f t="shared" si="9"/>
        <v>8</v>
      </c>
      <c r="S31" s="326">
        <f>15+55</f>
        <v>70</v>
      </c>
      <c r="T31" s="327">
        <f>15+55</f>
        <v>70</v>
      </c>
      <c r="U31" s="328">
        <v>0</v>
      </c>
      <c r="V31" s="330">
        <f t="shared" si="10"/>
        <v>70</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9.5" customHeight="1">
      <c r="A32" s="339" t="s">
        <v>3</v>
      </c>
      <c r="B32" s="336">
        <v>194</v>
      </c>
      <c r="C32" s="337">
        <v>194</v>
      </c>
      <c r="D32" s="394">
        <v>610</v>
      </c>
      <c r="E32" s="328">
        <v>80</v>
      </c>
      <c r="F32" s="328">
        <v>0</v>
      </c>
      <c r="G32" s="328">
        <v>0</v>
      </c>
      <c r="H32" s="329">
        <f>475+E32+F32+G32</f>
        <v>555</v>
      </c>
      <c r="I32" s="330">
        <f t="shared" si="7"/>
        <v>249</v>
      </c>
      <c r="J32" s="326">
        <f>77+253</f>
        <v>330</v>
      </c>
      <c r="K32" s="327">
        <f>77+253</f>
        <v>330</v>
      </c>
      <c r="L32" s="327">
        <v>6</v>
      </c>
      <c r="M32" s="328">
        <f>83+253</f>
        <v>336</v>
      </c>
      <c r="N32" s="329">
        <f t="shared" si="8"/>
        <v>0</v>
      </c>
      <c r="O32" s="326">
        <f>47+162</f>
        <v>209</v>
      </c>
      <c r="P32" s="327">
        <f>47+158</f>
        <v>205</v>
      </c>
      <c r="Q32" s="328">
        <v>100</v>
      </c>
      <c r="R32" s="330">
        <f t="shared" si="9"/>
        <v>109</v>
      </c>
      <c r="S32" s="326">
        <v>2</v>
      </c>
      <c r="T32" s="327">
        <v>2</v>
      </c>
      <c r="U32" s="328">
        <v>2</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9.5" customHeight="1">
      <c r="A33" s="339" t="s">
        <v>4</v>
      </c>
      <c r="B33" s="326">
        <v>235</v>
      </c>
      <c r="C33" s="327">
        <v>235</v>
      </c>
      <c r="D33" s="328">
        <v>268</v>
      </c>
      <c r="E33" s="328">
        <v>0</v>
      </c>
      <c r="F33" s="328">
        <v>0</v>
      </c>
      <c r="G33" s="328">
        <v>250</v>
      </c>
      <c r="H33" s="328">
        <f>176+E33+F33+G33</f>
        <v>426</v>
      </c>
      <c r="I33" s="330">
        <f t="shared" si="7"/>
        <v>77</v>
      </c>
      <c r="J33" s="326">
        <v>143</v>
      </c>
      <c r="K33" s="327">
        <v>143</v>
      </c>
      <c r="L33" s="328">
        <v>3</v>
      </c>
      <c r="M33" s="328">
        <v>20</v>
      </c>
      <c r="N33" s="330">
        <f t="shared" si="8"/>
        <v>126</v>
      </c>
      <c r="O33" s="326">
        <f>133+71</f>
        <v>204</v>
      </c>
      <c r="P33" s="327">
        <f>133+71</f>
        <v>204</v>
      </c>
      <c r="Q33" s="328">
        <v>167</v>
      </c>
      <c r="R33" s="330">
        <f t="shared" si="9"/>
        <v>37</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9.5" customHeight="1">
      <c r="A34" s="340" t="s">
        <v>99</v>
      </c>
      <c r="B34" s="341">
        <v>217</v>
      </c>
      <c r="C34" s="328">
        <v>217</v>
      </c>
      <c r="D34" s="342">
        <v>1005</v>
      </c>
      <c r="E34" s="343">
        <v>0</v>
      </c>
      <c r="F34" s="343">
        <v>130</v>
      </c>
      <c r="G34" s="343">
        <v>409</v>
      </c>
      <c r="H34" s="343">
        <f>683+E34+F34+G34</f>
        <v>1222</v>
      </c>
      <c r="I34" s="344">
        <f t="shared" si="7"/>
        <v>0</v>
      </c>
      <c r="J34" s="342">
        <f>54+31</f>
        <v>85</v>
      </c>
      <c r="K34" s="342">
        <f>54+31</f>
        <v>85</v>
      </c>
      <c r="L34" s="342">
        <v>17</v>
      </c>
      <c r="M34" s="343">
        <f>71+31</f>
        <v>102</v>
      </c>
      <c r="N34" s="345">
        <f t="shared" si="8"/>
        <v>0</v>
      </c>
      <c r="O34" s="317">
        <f>120+79</f>
        <v>199</v>
      </c>
      <c r="P34" s="342">
        <v>199</v>
      </c>
      <c r="Q34" s="343">
        <v>130</v>
      </c>
      <c r="R34" s="344">
        <f t="shared" si="9"/>
        <v>69</v>
      </c>
      <c r="S34" s="317">
        <v>30</v>
      </c>
      <c r="T34" s="342">
        <v>30</v>
      </c>
      <c r="U34" s="343">
        <v>30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9.5" customHeight="1">
      <c r="A35" s="346" t="s">
        <v>5</v>
      </c>
      <c r="B35" s="347">
        <v>359</v>
      </c>
      <c r="C35" s="342">
        <v>359</v>
      </c>
      <c r="D35" s="348">
        <v>553</v>
      </c>
      <c r="E35" s="349">
        <v>0</v>
      </c>
      <c r="F35" s="349">
        <v>0</v>
      </c>
      <c r="G35" s="349">
        <v>300</v>
      </c>
      <c r="H35" s="350">
        <f>356+E35+F35+G35</f>
        <v>656</v>
      </c>
      <c r="I35" s="351">
        <f t="shared" si="7"/>
        <v>256</v>
      </c>
      <c r="J35" s="347">
        <v>5</v>
      </c>
      <c r="K35" s="348">
        <v>5</v>
      </c>
      <c r="L35" s="348">
        <v>28</v>
      </c>
      <c r="M35" s="349">
        <v>0</v>
      </c>
      <c r="N35" s="350">
        <f t="shared" si="8"/>
        <v>33</v>
      </c>
      <c r="O35" s="347">
        <f>170+423</f>
        <v>593</v>
      </c>
      <c r="P35" s="348">
        <v>593</v>
      </c>
      <c r="Q35" s="349">
        <v>280</v>
      </c>
      <c r="R35" s="351">
        <f t="shared" si="9"/>
        <v>313</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9.5" customHeight="1">
      <c r="A36" s="352" t="s">
        <v>82</v>
      </c>
      <c r="B36" s="347">
        <v>142</v>
      </c>
      <c r="C36" s="348">
        <v>142</v>
      </c>
      <c r="D36" s="349">
        <v>919</v>
      </c>
      <c r="E36" s="349">
        <v>0</v>
      </c>
      <c r="F36" s="349">
        <v>105</v>
      </c>
      <c r="G36" s="349">
        <v>103</v>
      </c>
      <c r="H36" s="349">
        <f>816+E36+F36+G36</f>
        <v>1024</v>
      </c>
      <c r="I36" s="351">
        <f t="shared" si="7"/>
        <v>37</v>
      </c>
      <c r="J36" s="347">
        <f>26+380</f>
        <v>406</v>
      </c>
      <c r="K36" s="348">
        <v>406</v>
      </c>
      <c r="L36" s="349">
        <v>24</v>
      </c>
      <c r="M36" s="349">
        <f>50+380</f>
        <v>430</v>
      </c>
      <c r="N36" s="351">
        <f t="shared" si="8"/>
        <v>0</v>
      </c>
      <c r="O36" s="347">
        <f>100+224</f>
        <v>324</v>
      </c>
      <c r="P36" s="348">
        <v>324</v>
      </c>
      <c r="Q36" s="349">
        <v>100</v>
      </c>
      <c r="R36" s="351">
        <f t="shared" si="9"/>
        <v>224</v>
      </c>
      <c r="S36" s="347">
        <f>23+10</f>
        <v>33</v>
      </c>
      <c r="T36" s="348">
        <f>23+10</f>
        <v>33</v>
      </c>
      <c r="U36" s="349">
        <v>33</v>
      </c>
      <c r="V36" s="351">
        <f t="shared" si="10"/>
        <v>0</v>
      </c>
    </row>
    <row r="37" spans="1:22" s="324" customFormat="1" ht="19.5" customHeight="1">
      <c r="A37" s="353" t="s">
        <v>100</v>
      </c>
      <c r="B37" s="326">
        <v>293</v>
      </c>
      <c r="C37" s="327">
        <v>293</v>
      </c>
      <c r="D37" s="327">
        <v>542</v>
      </c>
      <c r="E37" s="328">
        <v>0</v>
      </c>
      <c r="F37" s="328">
        <v>0</v>
      </c>
      <c r="G37" s="328">
        <v>0</v>
      </c>
      <c r="H37" s="329">
        <f>387+E37+F37+G37</f>
        <v>387</v>
      </c>
      <c r="I37" s="330">
        <f t="shared" si="7"/>
        <v>448</v>
      </c>
      <c r="J37" s="326">
        <f>145+209</f>
        <v>354</v>
      </c>
      <c r="K37" s="327">
        <f>145+209</f>
        <v>354</v>
      </c>
      <c r="L37" s="327">
        <v>28</v>
      </c>
      <c r="M37" s="328">
        <f>35+100</f>
        <v>135</v>
      </c>
      <c r="N37" s="329">
        <f t="shared" si="8"/>
        <v>247</v>
      </c>
      <c r="O37" s="326">
        <f>120+85</f>
        <v>205</v>
      </c>
      <c r="P37" s="327">
        <v>205</v>
      </c>
      <c r="Q37" s="328">
        <v>177</v>
      </c>
      <c r="R37" s="330">
        <f t="shared" si="9"/>
        <v>28</v>
      </c>
      <c r="S37" s="326">
        <f>103+27</f>
        <v>130</v>
      </c>
      <c r="T37" s="327">
        <f>103+27</f>
        <v>130</v>
      </c>
      <c r="U37" s="328">
        <v>100</v>
      </c>
      <c r="V37" s="330">
        <f t="shared" si="10"/>
        <v>30</v>
      </c>
    </row>
    <row r="38" spans="1:22" s="324" customFormat="1" ht="19.5" customHeight="1">
      <c r="A38" s="325" t="s">
        <v>31</v>
      </c>
      <c r="B38" s="347">
        <v>173</v>
      </c>
      <c r="C38" s="348">
        <v>173</v>
      </c>
      <c r="D38" s="348">
        <v>210</v>
      </c>
      <c r="E38" s="349">
        <v>0</v>
      </c>
      <c r="F38" s="349">
        <v>0</v>
      </c>
      <c r="G38" s="349">
        <v>110</v>
      </c>
      <c r="H38" s="350">
        <f>127+E38+F38+G38</f>
        <v>237</v>
      </c>
      <c r="I38" s="351">
        <f t="shared" si="7"/>
        <v>146</v>
      </c>
      <c r="J38" s="347">
        <f>132+5</f>
        <v>137</v>
      </c>
      <c r="K38" s="348">
        <f>132+5</f>
        <v>137</v>
      </c>
      <c r="L38" s="348">
        <v>2</v>
      </c>
      <c r="M38" s="349">
        <v>87</v>
      </c>
      <c r="N38" s="350">
        <f t="shared" si="8"/>
        <v>52</v>
      </c>
      <c r="O38" s="347">
        <f>95+188</f>
        <v>283</v>
      </c>
      <c r="P38" s="348">
        <f>95+188</f>
        <v>283</v>
      </c>
      <c r="Q38" s="349">
        <v>202</v>
      </c>
      <c r="R38" s="351">
        <f t="shared" si="9"/>
        <v>81</v>
      </c>
      <c r="S38" s="347">
        <v>3</v>
      </c>
      <c r="T38" s="348">
        <v>3</v>
      </c>
      <c r="U38" s="349">
        <v>0</v>
      </c>
      <c r="V38" s="351">
        <f t="shared" si="10"/>
        <v>3</v>
      </c>
    </row>
    <row r="39" spans="1:22" s="324" customFormat="1" ht="19.5" customHeight="1" thickBot="1">
      <c r="A39" s="346" t="s">
        <v>32</v>
      </c>
      <c r="B39" s="347">
        <v>58</v>
      </c>
      <c r="C39" s="348">
        <v>58</v>
      </c>
      <c r="D39" s="348">
        <v>689</v>
      </c>
      <c r="E39" s="349">
        <v>0</v>
      </c>
      <c r="F39" s="349">
        <v>0</v>
      </c>
      <c r="G39" s="349">
        <v>0</v>
      </c>
      <c r="H39" s="350">
        <f>608+E39+F39+G39</f>
        <v>608</v>
      </c>
      <c r="I39" s="351">
        <f t="shared" si="7"/>
        <v>139</v>
      </c>
      <c r="J39" s="347">
        <f>33+444</f>
        <v>477</v>
      </c>
      <c r="K39" s="348">
        <f>33+444</f>
        <v>477</v>
      </c>
      <c r="L39" s="348">
        <v>45</v>
      </c>
      <c r="M39" s="349">
        <v>300</v>
      </c>
      <c r="N39" s="350">
        <f t="shared" si="8"/>
        <v>222</v>
      </c>
      <c r="O39" s="347">
        <f>150+71</f>
        <v>221</v>
      </c>
      <c r="P39" s="348">
        <v>221</v>
      </c>
      <c r="Q39" s="349">
        <v>200</v>
      </c>
      <c r="R39" s="351">
        <f t="shared" si="9"/>
        <v>21</v>
      </c>
      <c r="S39" s="347">
        <f>135+10</f>
        <v>145</v>
      </c>
      <c r="T39" s="348">
        <f>135+10</f>
        <v>145</v>
      </c>
      <c r="U39" s="349">
        <v>130</v>
      </c>
      <c r="V39" s="351">
        <f t="shared" si="10"/>
        <v>15</v>
      </c>
    </row>
    <row r="40" spans="1:23" s="86" customFormat="1" ht="19.5" customHeight="1" thickBot="1">
      <c r="A40" s="166" t="s">
        <v>17</v>
      </c>
      <c r="B40" s="167">
        <f aca="true" t="shared" si="11" ref="B40:V40">SUM(B41+B42+B43+B44+B45+B46+B47+B48+B49+B50+B51+B52+B53+B54+B55+B56+B57)</f>
        <v>11146</v>
      </c>
      <c r="C40" s="165">
        <f t="shared" si="11"/>
        <v>11542</v>
      </c>
      <c r="D40" s="165">
        <f t="shared" si="11"/>
        <v>25414</v>
      </c>
      <c r="E40" s="165">
        <f t="shared" si="11"/>
        <v>7717</v>
      </c>
      <c r="F40" s="165">
        <f t="shared" si="11"/>
        <v>4326</v>
      </c>
      <c r="G40" s="165">
        <f t="shared" si="11"/>
        <v>3555</v>
      </c>
      <c r="H40" s="192">
        <f t="shared" si="11"/>
        <v>26413</v>
      </c>
      <c r="I40" s="29">
        <f t="shared" si="11"/>
        <v>10147</v>
      </c>
      <c r="J40" s="167">
        <f t="shared" si="11"/>
        <v>9352</v>
      </c>
      <c r="K40" s="165">
        <f t="shared" si="11"/>
        <v>9298</v>
      </c>
      <c r="L40" s="165">
        <f t="shared" si="11"/>
        <v>3600</v>
      </c>
      <c r="M40" s="165">
        <f t="shared" si="11"/>
        <v>8596</v>
      </c>
      <c r="N40" s="29">
        <f t="shared" si="11"/>
        <v>4356</v>
      </c>
      <c r="O40" s="167">
        <f t="shared" si="11"/>
        <v>6358</v>
      </c>
      <c r="P40" s="167">
        <f t="shared" si="11"/>
        <v>5930</v>
      </c>
      <c r="Q40" s="165">
        <f t="shared" si="11"/>
        <v>3762</v>
      </c>
      <c r="R40" s="29">
        <f t="shared" si="11"/>
        <v>2596</v>
      </c>
      <c r="S40" s="167">
        <f t="shared" si="11"/>
        <v>4315</v>
      </c>
      <c r="T40" s="165">
        <f t="shared" si="11"/>
        <v>4412</v>
      </c>
      <c r="U40" s="165">
        <f t="shared" si="11"/>
        <v>2245</v>
      </c>
      <c r="V40" s="29">
        <f t="shared" si="11"/>
        <v>2070</v>
      </c>
      <c r="W40" s="193"/>
    </row>
    <row r="41" spans="1:22" s="40" customFormat="1" ht="19.5" customHeight="1">
      <c r="A41" s="87" t="s">
        <v>115</v>
      </c>
      <c r="B41" s="423">
        <v>49</v>
      </c>
      <c r="C41" s="424">
        <v>49</v>
      </c>
      <c r="D41" s="424">
        <v>740</v>
      </c>
      <c r="E41" s="425">
        <v>0</v>
      </c>
      <c r="F41" s="425">
        <v>500</v>
      </c>
      <c r="G41" s="425">
        <v>0</v>
      </c>
      <c r="H41" s="426">
        <f>240+E41+F41+G41</f>
        <v>740</v>
      </c>
      <c r="I41" s="53">
        <f aca="true" t="shared" si="12" ref="I41:I46">B41+D41-H41</f>
        <v>49</v>
      </c>
      <c r="J41" s="423">
        <v>363</v>
      </c>
      <c r="K41" s="425">
        <v>363</v>
      </c>
      <c r="L41" s="425">
        <f>389+2</f>
        <v>391</v>
      </c>
      <c r="M41" s="425">
        <f>389+102</f>
        <v>491</v>
      </c>
      <c r="N41" s="53">
        <f aca="true" t="shared" si="13" ref="N41:N46">J41+L41-M41</f>
        <v>263</v>
      </c>
      <c r="O41" s="423">
        <f>24+95</f>
        <v>119</v>
      </c>
      <c r="P41" s="427">
        <v>119</v>
      </c>
      <c r="Q41" s="428">
        <v>119</v>
      </c>
      <c r="R41" s="53">
        <f aca="true" t="shared" si="14" ref="R41:R46">O41-Q41</f>
        <v>0</v>
      </c>
      <c r="S41" s="423">
        <v>7</v>
      </c>
      <c r="T41" s="424">
        <v>7</v>
      </c>
      <c r="U41" s="425">
        <v>0</v>
      </c>
      <c r="V41" s="53">
        <f aca="true" t="shared" si="15" ref="V41:V46">S41-U41</f>
        <v>7</v>
      </c>
    </row>
    <row r="42" spans="1:22" s="40" customFormat="1" ht="19.5" customHeight="1">
      <c r="A42" s="57" t="s">
        <v>116</v>
      </c>
      <c r="B42" s="429">
        <v>449</v>
      </c>
      <c r="C42" s="212">
        <v>449</v>
      </c>
      <c r="D42" s="212">
        <v>1370</v>
      </c>
      <c r="E42" s="213">
        <v>950</v>
      </c>
      <c r="F42" s="213">
        <v>0</v>
      </c>
      <c r="G42" s="213">
        <v>140</v>
      </c>
      <c r="H42" s="214">
        <f>527+E42+F42+G42</f>
        <v>1617</v>
      </c>
      <c r="I42" s="34">
        <f>B42+D42-H42</f>
        <v>202</v>
      </c>
      <c r="J42" s="168">
        <v>1140</v>
      </c>
      <c r="K42" s="169">
        <v>1140</v>
      </c>
      <c r="L42" s="169">
        <v>167</v>
      </c>
      <c r="M42" s="170">
        <f>200+945</f>
        <v>1145</v>
      </c>
      <c r="N42" s="171">
        <f t="shared" si="13"/>
        <v>162</v>
      </c>
      <c r="O42" s="168">
        <f>73+100</f>
        <v>173</v>
      </c>
      <c r="P42" s="169">
        <v>173</v>
      </c>
      <c r="Q42" s="170">
        <v>125</v>
      </c>
      <c r="R42" s="38">
        <f t="shared" si="14"/>
        <v>48</v>
      </c>
      <c r="S42" s="168">
        <v>79</v>
      </c>
      <c r="T42" s="169">
        <v>79</v>
      </c>
      <c r="U42" s="170">
        <v>0</v>
      </c>
      <c r="V42" s="38">
        <f t="shared" si="15"/>
        <v>79</v>
      </c>
    </row>
    <row r="43" spans="1:22" s="40" customFormat="1" ht="19.5" customHeight="1">
      <c r="A43" s="31" t="s">
        <v>117</v>
      </c>
      <c r="B43" s="196">
        <v>208</v>
      </c>
      <c r="C43" s="197">
        <v>208</v>
      </c>
      <c r="D43" s="377">
        <v>352</v>
      </c>
      <c r="E43" s="198">
        <v>0</v>
      </c>
      <c r="F43" s="198">
        <v>0</v>
      </c>
      <c r="G43" s="198">
        <v>0</v>
      </c>
      <c r="H43" s="199">
        <f>258+E43+F43+G43</f>
        <v>258</v>
      </c>
      <c r="I43" s="47">
        <f t="shared" si="12"/>
        <v>302</v>
      </c>
      <c r="J43" s="188">
        <v>165</v>
      </c>
      <c r="K43" s="189">
        <v>165</v>
      </c>
      <c r="L43" s="189">
        <v>265</v>
      </c>
      <c r="M43" s="190">
        <f>150+74</f>
        <v>224</v>
      </c>
      <c r="N43" s="191">
        <f t="shared" si="13"/>
        <v>206</v>
      </c>
      <c r="O43" s="188">
        <f>142+136</f>
        <v>278</v>
      </c>
      <c r="P43" s="189">
        <v>278</v>
      </c>
      <c r="Q43" s="190">
        <v>165</v>
      </c>
      <c r="R43" s="71">
        <f t="shared" si="14"/>
        <v>113</v>
      </c>
      <c r="S43" s="188">
        <f>129+80</f>
        <v>209</v>
      </c>
      <c r="T43" s="189">
        <v>209</v>
      </c>
      <c r="U43" s="190">
        <v>0</v>
      </c>
      <c r="V43" s="71">
        <f t="shared" si="15"/>
        <v>209</v>
      </c>
    </row>
    <row r="44" spans="1:22" s="40" customFormat="1" ht="19.5" customHeight="1">
      <c r="A44" s="57" t="s">
        <v>118</v>
      </c>
      <c r="B44" s="196">
        <v>531</v>
      </c>
      <c r="C44" s="197">
        <v>531</v>
      </c>
      <c r="D44" s="197">
        <v>446</v>
      </c>
      <c r="E44" s="198">
        <v>200</v>
      </c>
      <c r="F44" s="198">
        <v>0</v>
      </c>
      <c r="G44" s="198">
        <v>0</v>
      </c>
      <c r="H44" s="199">
        <f>317+E44+F44+G44</f>
        <v>517</v>
      </c>
      <c r="I44" s="47">
        <f t="shared" si="12"/>
        <v>460</v>
      </c>
      <c r="J44" s="188">
        <v>699</v>
      </c>
      <c r="K44" s="189">
        <v>699</v>
      </c>
      <c r="L44" s="189">
        <v>60</v>
      </c>
      <c r="M44" s="190">
        <f>400+225</f>
        <v>625</v>
      </c>
      <c r="N44" s="191">
        <f t="shared" si="13"/>
        <v>134</v>
      </c>
      <c r="O44" s="188">
        <v>96</v>
      </c>
      <c r="P44" s="189">
        <v>96</v>
      </c>
      <c r="Q44" s="190">
        <v>90</v>
      </c>
      <c r="R44" s="71">
        <f t="shared" si="14"/>
        <v>6</v>
      </c>
      <c r="S44" s="188">
        <v>104</v>
      </c>
      <c r="T44" s="189">
        <v>104</v>
      </c>
      <c r="U44" s="190">
        <v>100</v>
      </c>
      <c r="V44" s="71">
        <f t="shared" si="15"/>
        <v>4</v>
      </c>
    </row>
    <row r="45" spans="1:22" s="40" customFormat="1" ht="19.5" customHeight="1">
      <c r="A45" s="145" t="s">
        <v>119</v>
      </c>
      <c r="B45" s="196">
        <v>77</v>
      </c>
      <c r="C45" s="197">
        <v>77</v>
      </c>
      <c r="D45" s="197">
        <v>2012</v>
      </c>
      <c r="E45" s="198">
        <v>615</v>
      </c>
      <c r="F45" s="198">
        <v>0</v>
      </c>
      <c r="G45" s="198">
        <v>380</v>
      </c>
      <c r="H45" s="199">
        <f>273+E45+F45+G45</f>
        <v>1268</v>
      </c>
      <c r="I45" s="47">
        <f>B45+D45-H45</f>
        <v>821</v>
      </c>
      <c r="J45" s="188">
        <f>158+74</f>
        <v>232</v>
      </c>
      <c r="K45" s="189">
        <v>232</v>
      </c>
      <c r="L45" s="189">
        <v>30</v>
      </c>
      <c r="M45" s="190">
        <v>174</v>
      </c>
      <c r="N45" s="191">
        <f t="shared" si="13"/>
        <v>88</v>
      </c>
      <c r="O45" s="188">
        <f>82+174</f>
        <v>256</v>
      </c>
      <c r="P45" s="189">
        <v>256</v>
      </c>
      <c r="Q45" s="190">
        <v>194</v>
      </c>
      <c r="R45" s="71">
        <f t="shared" si="14"/>
        <v>62</v>
      </c>
      <c r="S45" s="188">
        <f>286+100</f>
        <v>386</v>
      </c>
      <c r="T45" s="189">
        <f>383+100</f>
        <v>483</v>
      </c>
      <c r="U45" s="190">
        <v>386</v>
      </c>
      <c r="V45" s="71">
        <f t="shared" si="15"/>
        <v>0</v>
      </c>
    </row>
    <row r="46" spans="1:22" s="376" customFormat="1" ht="19.5" customHeight="1">
      <c r="A46" s="387" t="s">
        <v>120</v>
      </c>
      <c r="B46" s="380">
        <v>417</v>
      </c>
      <c r="C46" s="381">
        <v>417</v>
      </c>
      <c r="D46" s="381">
        <v>1838</v>
      </c>
      <c r="E46" s="382">
        <v>320</v>
      </c>
      <c r="F46" s="382">
        <v>780</v>
      </c>
      <c r="G46" s="382">
        <v>0</v>
      </c>
      <c r="H46" s="383">
        <f>782+E46+F46+G46</f>
        <v>1882</v>
      </c>
      <c r="I46" s="384">
        <f t="shared" si="12"/>
        <v>373</v>
      </c>
      <c r="J46" s="388">
        <v>186</v>
      </c>
      <c r="K46" s="389">
        <v>186</v>
      </c>
      <c r="L46" s="389">
        <v>31</v>
      </c>
      <c r="M46" s="390">
        <v>50</v>
      </c>
      <c r="N46" s="391">
        <f t="shared" si="13"/>
        <v>167</v>
      </c>
      <c r="O46" s="388">
        <f>380+160</f>
        <v>540</v>
      </c>
      <c r="P46" s="389">
        <v>540</v>
      </c>
      <c r="Q46" s="390">
        <v>350</v>
      </c>
      <c r="R46" s="392">
        <f t="shared" si="14"/>
        <v>190</v>
      </c>
      <c r="S46" s="388">
        <v>1</v>
      </c>
      <c r="T46" s="389">
        <v>1</v>
      </c>
      <c r="U46" s="390">
        <v>0</v>
      </c>
      <c r="V46" s="392">
        <f t="shared" si="15"/>
        <v>1</v>
      </c>
    </row>
    <row r="47" spans="1:22" s="40" customFormat="1" ht="19.5" customHeight="1">
      <c r="A47" s="50" t="s">
        <v>121</v>
      </c>
      <c r="B47" s="175">
        <v>472</v>
      </c>
      <c r="C47" s="176">
        <v>472</v>
      </c>
      <c r="D47" s="176">
        <v>426</v>
      </c>
      <c r="E47" s="177">
        <v>0</v>
      </c>
      <c r="F47" s="177">
        <v>0</v>
      </c>
      <c r="G47" s="177">
        <v>160</v>
      </c>
      <c r="H47" s="178">
        <f>212+E47+F47+G47</f>
        <v>372</v>
      </c>
      <c r="I47" s="70">
        <f aca="true" t="shared" si="16" ref="I47:I57">B47+D47-H47</f>
        <v>526</v>
      </c>
      <c r="J47" s="175">
        <v>264</v>
      </c>
      <c r="K47" s="176">
        <v>264</v>
      </c>
      <c r="L47" s="176">
        <v>16</v>
      </c>
      <c r="M47" s="177">
        <v>145</v>
      </c>
      <c r="N47" s="178">
        <f aca="true" t="shared" si="17" ref="N47:N57">J47+L47-M47</f>
        <v>135</v>
      </c>
      <c r="O47" s="175">
        <f>21+72</f>
        <v>93</v>
      </c>
      <c r="P47" s="176">
        <f>72+12</f>
        <v>84</v>
      </c>
      <c r="Q47" s="177">
        <v>93</v>
      </c>
      <c r="R47" s="70">
        <f aca="true" t="shared" si="18" ref="R47:R57">O47-Q47</f>
        <v>0</v>
      </c>
      <c r="S47" s="175">
        <v>80</v>
      </c>
      <c r="T47" s="176">
        <v>80</v>
      </c>
      <c r="U47" s="177">
        <v>0</v>
      </c>
      <c r="V47" s="70">
        <f aca="true" t="shared" si="19" ref="V47:V57">S47-U47</f>
        <v>80</v>
      </c>
    </row>
    <row r="48" spans="1:22" s="40" customFormat="1" ht="19.5" customHeight="1">
      <c r="A48" s="31" t="s">
        <v>53</v>
      </c>
      <c r="B48" s="168">
        <v>161</v>
      </c>
      <c r="C48" s="169">
        <v>161</v>
      </c>
      <c r="D48" s="169">
        <v>693</v>
      </c>
      <c r="E48" s="170">
        <v>230</v>
      </c>
      <c r="F48" s="170">
        <v>0</v>
      </c>
      <c r="G48" s="170">
        <v>150</v>
      </c>
      <c r="H48" s="171">
        <f>429+E48+F48+G48</f>
        <v>809</v>
      </c>
      <c r="I48" s="38">
        <f>B48+D48-H48</f>
        <v>45</v>
      </c>
      <c r="J48" s="168">
        <v>103</v>
      </c>
      <c r="K48" s="169">
        <v>103</v>
      </c>
      <c r="L48" s="169">
        <v>38</v>
      </c>
      <c r="M48" s="170">
        <v>83</v>
      </c>
      <c r="N48" s="171">
        <f t="shared" si="17"/>
        <v>58</v>
      </c>
      <c r="O48" s="168">
        <f>92+90</f>
        <v>182</v>
      </c>
      <c r="P48" s="169">
        <f>90+100</f>
        <v>190</v>
      </c>
      <c r="Q48" s="170">
        <v>170</v>
      </c>
      <c r="R48" s="38">
        <f t="shared" si="18"/>
        <v>12</v>
      </c>
      <c r="S48" s="168">
        <v>60</v>
      </c>
      <c r="T48" s="169">
        <v>60</v>
      </c>
      <c r="U48" s="170">
        <v>60</v>
      </c>
      <c r="V48" s="38">
        <f t="shared" si="19"/>
        <v>0</v>
      </c>
    </row>
    <row r="49" spans="1:23" s="40" customFormat="1" ht="19.5" customHeight="1">
      <c r="A49" s="211" t="s">
        <v>83</v>
      </c>
      <c r="B49" s="168">
        <v>2669</v>
      </c>
      <c r="C49" s="212">
        <v>2669</v>
      </c>
      <c r="D49" s="212">
        <v>3211</v>
      </c>
      <c r="E49" s="213">
        <f>2380-1500</f>
        <v>880</v>
      </c>
      <c r="F49" s="213">
        <v>0</v>
      </c>
      <c r="G49" s="213">
        <v>350</v>
      </c>
      <c r="H49" s="214">
        <f>1538+E49+F49+G49</f>
        <v>2768</v>
      </c>
      <c r="I49" s="34">
        <f>B49+D49-H49</f>
        <v>3112</v>
      </c>
      <c r="J49" s="168">
        <v>1182</v>
      </c>
      <c r="K49" s="169">
        <v>1182</v>
      </c>
      <c r="L49" s="169">
        <f>703+45</f>
        <v>748</v>
      </c>
      <c r="M49" s="170">
        <f>400+160</f>
        <v>560</v>
      </c>
      <c r="N49" s="171">
        <f t="shared" si="17"/>
        <v>1370</v>
      </c>
      <c r="O49" s="168">
        <f>742+372</f>
        <v>1114</v>
      </c>
      <c r="P49" s="169">
        <v>957</v>
      </c>
      <c r="Q49" s="170">
        <v>400</v>
      </c>
      <c r="R49" s="38">
        <f t="shared" si="18"/>
        <v>714</v>
      </c>
      <c r="S49" s="168">
        <f>647+176</f>
        <v>823</v>
      </c>
      <c r="T49" s="169">
        <v>823</v>
      </c>
      <c r="U49" s="170">
        <v>300</v>
      </c>
      <c r="V49" s="38">
        <f t="shared" si="19"/>
        <v>523</v>
      </c>
      <c r="W49" s="172"/>
    </row>
    <row r="50" spans="1:22" s="40" customFormat="1" ht="19.5" customHeight="1">
      <c r="A50" s="143" t="s">
        <v>127</v>
      </c>
      <c r="B50" s="168">
        <v>569</v>
      </c>
      <c r="C50" s="212">
        <v>569</v>
      </c>
      <c r="D50" s="212">
        <v>477</v>
      </c>
      <c r="E50" s="213">
        <v>0</v>
      </c>
      <c r="F50" s="213">
        <v>0</v>
      </c>
      <c r="G50" s="213">
        <v>700</v>
      </c>
      <c r="H50" s="214">
        <f>316+E50+F50+G50</f>
        <v>1016</v>
      </c>
      <c r="I50" s="34">
        <f t="shared" si="16"/>
        <v>30</v>
      </c>
      <c r="J50" s="168">
        <f>461+35</f>
        <v>496</v>
      </c>
      <c r="K50" s="169">
        <v>496</v>
      </c>
      <c r="L50" s="169">
        <f>166+66</f>
        <v>232</v>
      </c>
      <c r="M50" s="170">
        <f>600+101</f>
        <v>701</v>
      </c>
      <c r="N50" s="171">
        <f t="shared" si="17"/>
        <v>27</v>
      </c>
      <c r="O50" s="168">
        <f>37+104</f>
        <v>141</v>
      </c>
      <c r="P50" s="169">
        <v>117</v>
      </c>
      <c r="Q50" s="170">
        <v>126</v>
      </c>
      <c r="R50" s="38">
        <f t="shared" si="18"/>
        <v>15</v>
      </c>
      <c r="S50" s="168">
        <v>70</v>
      </c>
      <c r="T50" s="169">
        <v>70</v>
      </c>
      <c r="U50" s="170">
        <v>60</v>
      </c>
      <c r="V50" s="38">
        <f t="shared" si="19"/>
        <v>10</v>
      </c>
    </row>
    <row r="51" spans="1:22" s="40" customFormat="1" ht="19.5" customHeight="1">
      <c r="A51" s="57" t="s">
        <v>67</v>
      </c>
      <c r="B51" s="168">
        <v>576</v>
      </c>
      <c r="C51" s="212">
        <v>576</v>
      </c>
      <c r="D51" s="212">
        <v>3676</v>
      </c>
      <c r="E51" s="213">
        <v>1400</v>
      </c>
      <c r="F51" s="213">
        <v>1896</v>
      </c>
      <c r="G51" s="213">
        <v>0</v>
      </c>
      <c r="H51" s="214">
        <f>856+E51+F51+G51</f>
        <v>4152</v>
      </c>
      <c r="I51" s="34">
        <f t="shared" si="16"/>
        <v>100</v>
      </c>
      <c r="J51" s="168">
        <v>969</v>
      </c>
      <c r="K51" s="169">
        <v>969</v>
      </c>
      <c r="L51" s="169">
        <v>275</v>
      </c>
      <c r="M51" s="170">
        <f>400+693</f>
        <v>1093</v>
      </c>
      <c r="N51" s="171">
        <f t="shared" si="17"/>
        <v>151</v>
      </c>
      <c r="O51" s="168">
        <v>476</v>
      </c>
      <c r="P51" s="169">
        <v>476</v>
      </c>
      <c r="Q51" s="170">
        <v>395</v>
      </c>
      <c r="R51" s="38">
        <f t="shared" si="18"/>
        <v>81</v>
      </c>
      <c r="S51" s="168">
        <v>194</v>
      </c>
      <c r="T51" s="169">
        <v>194</v>
      </c>
      <c r="U51" s="170">
        <v>180</v>
      </c>
      <c r="V51" s="38">
        <f t="shared" si="19"/>
        <v>14</v>
      </c>
    </row>
    <row r="52" spans="1:22" s="376" customFormat="1" ht="19.5" customHeight="1">
      <c r="A52" s="378" t="s">
        <v>122</v>
      </c>
      <c r="B52" s="388">
        <v>1851</v>
      </c>
      <c r="C52" s="381">
        <v>2247</v>
      </c>
      <c r="D52" s="381">
        <v>4733</v>
      </c>
      <c r="E52" s="382">
        <v>725</v>
      </c>
      <c r="F52" s="382">
        <v>1150</v>
      </c>
      <c r="G52" s="382">
        <v>1525</v>
      </c>
      <c r="H52" s="383">
        <f>2547-43+E52+F52+G52</f>
        <v>5904</v>
      </c>
      <c r="I52" s="384">
        <f t="shared" si="16"/>
        <v>680</v>
      </c>
      <c r="J52" s="388">
        <v>1861</v>
      </c>
      <c r="K52" s="389">
        <v>1807</v>
      </c>
      <c r="L52" s="389">
        <v>189</v>
      </c>
      <c r="M52" s="390">
        <f>600+952</f>
        <v>1552</v>
      </c>
      <c r="N52" s="391">
        <f t="shared" si="17"/>
        <v>498</v>
      </c>
      <c r="O52" s="388">
        <f>66+300</f>
        <v>366</v>
      </c>
      <c r="P52" s="389">
        <f>30+300</f>
        <v>330</v>
      </c>
      <c r="Q52" s="390">
        <v>350</v>
      </c>
      <c r="R52" s="392">
        <f t="shared" si="18"/>
        <v>16</v>
      </c>
      <c r="S52" s="388">
        <f>637+189</f>
        <v>826</v>
      </c>
      <c r="T52" s="389">
        <v>826</v>
      </c>
      <c r="U52" s="390">
        <v>500</v>
      </c>
      <c r="V52" s="392">
        <f t="shared" si="19"/>
        <v>326</v>
      </c>
    </row>
    <row r="53" spans="1:23" s="40" customFormat="1" ht="19.5" customHeight="1">
      <c r="A53" s="143" t="s">
        <v>123</v>
      </c>
      <c r="B53" s="168">
        <v>135</v>
      </c>
      <c r="C53" s="212">
        <v>135</v>
      </c>
      <c r="D53" s="212">
        <v>1623</v>
      </c>
      <c r="E53" s="213">
        <v>897</v>
      </c>
      <c r="F53" s="213">
        <v>0</v>
      </c>
      <c r="G53" s="213">
        <v>0</v>
      </c>
      <c r="H53" s="214">
        <f>684+E53+F53+G53</f>
        <v>1581</v>
      </c>
      <c r="I53" s="34">
        <f>B53+D53-H53</f>
        <v>177</v>
      </c>
      <c r="J53" s="168">
        <v>234</v>
      </c>
      <c r="K53" s="169">
        <v>234</v>
      </c>
      <c r="L53" s="169">
        <v>428</v>
      </c>
      <c r="M53" s="170">
        <v>600</v>
      </c>
      <c r="N53" s="171">
        <f t="shared" si="17"/>
        <v>62</v>
      </c>
      <c r="O53" s="168">
        <f>974+210</f>
        <v>1184</v>
      </c>
      <c r="P53" s="169">
        <f>939+210</f>
        <v>1149</v>
      </c>
      <c r="Q53" s="170">
        <v>217</v>
      </c>
      <c r="R53" s="38">
        <f t="shared" si="18"/>
        <v>967</v>
      </c>
      <c r="S53" s="168">
        <v>512</v>
      </c>
      <c r="T53" s="169">
        <v>512</v>
      </c>
      <c r="U53" s="170">
        <v>0</v>
      </c>
      <c r="V53" s="38">
        <f t="shared" si="19"/>
        <v>512</v>
      </c>
      <c r="W53" s="174"/>
    </row>
    <row r="54" spans="1:23" s="40" customFormat="1" ht="19.5" customHeight="1">
      <c r="A54" s="57" t="s">
        <v>124</v>
      </c>
      <c r="B54" s="168">
        <v>1527</v>
      </c>
      <c r="C54" s="212">
        <v>1527</v>
      </c>
      <c r="D54" s="212">
        <v>787</v>
      </c>
      <c r="E54" s="213">
        <v>550</v>
      </c>
      <c r="F54" s="213">
        <v>0</v>
      </c>
      <c r="G54" s="213">
        <v>0</v>
      </c>
      <c r="H54" s="215">
        <f>452+E54+F54+G54</f>
        <v>1002</v>
      </c>
      <c r="I54" s="34">
        <f t="shared" si="16"/>
        <v>1312</v>
      </c>
      <c r="J54" s="168">
        <f>520+93</f>
        <v>613</v>
      </c>
      <c r="K54" s="169">
        <v>613</v>
      </c>
      <c r="L54" s="169">
        <v>256</v>
      </c>
      <c r="M54" s="170">
        <v>593</v>
      </c>
      <c r="N54" s="171">
        <f t="shared" si="17"/>
        <v>276</v>
      </c>
      <c r="O54" s="168">
        <v>344</v>
      </c>
      <c r="P54" s="169">
        <v>344</v>
      </c>
      <c r="Q54" s="170">
        <v>245</v>
      </c>
      <c r="R54" s="38">
        <f t="shared" si="18"/>
        <v>99</v>
      </c>
      <c r="S54" s="168">
        <f>306+150</f>
        <v>456</v>
      </c>
      <c r="T54" s="169">
        <v>456</v>
      </c>
      <c r="U54" s="170">
        <v>456</v>
      </c>
      <c r="V54" s="38">
        <f t="shared" si="19"/>
        <v>0</v>
      </c>
      <c r="W54" s="174"/>
    </row>
    <row r="55" spans="1:22" s="40" customFormat="1" ht="19.5" customHeight="1">
      <c r="A55" s="31" t="s">
        <v>128</v>
      </c>
      <c r="B55" s="168">
        <v>162</v>
      </c>
      <c r="C55" s="212">
        <v>162</v>
      </c>
      <c r="D55" s="212">
        <v>1728</v>
      </c>
      <c r="E55" s="213">
        <v>600</v>
      </c>
      <c r="F55" s="213">
        <v>0</v>
      </c>
      <c r="G55" s="213">
        <v>150</v>
      </c>
      <c r="H55" s="214">
        <f>479+E55+F55+G55</f>
        <v>1229</v>
      </c>
      <c r="I55" s="34">
        <f t="shared" si="16"/>
        <v>661</v>
      </c>
      <c r="J55" s="168">
        <f>161+87</f>
        <v>248</v>
      </c>
      <c r="K55" s="169">
        <v>248</v>
      </c>
      <c r="L55" s="169">
        <v>320</v>
      </c>
      <c r="M55" s="170">
        <f>300+87</f>
        <v>387</v>
      </c>
      <c r="N55" s="171">
        <f t="shared" si="17"/>
        <v>181</v>
      </c>
      <c r="O55" s="168">
        <f>143+280</f>
        <v>423</v>
      </c>
      <c r="P55" s="169">
        <f>31+280</f>
        <v>311</v>
      </c>
      <c r="Q55" s="170">
        <v>423</v>
      </c>
      <c r="R55" s="38">
        <f t="shared" si="18"/>
        <v>0</v>
      </c>
      <c r="S55" s="168">
        <f>178+100</f>
        <v>278</v>
      </c>
      <c r="T55" s="169">
        <v>278</v>
      </c>
      <c r="U55" s="170">
        <v>178</v>
      </c>
      <c r="V55" s="38">
        <f t="shared" si="19"/>
        <v>100</v>
      </c>
    </row>
    <row r="56" spans="1:22" s="40" customFormat="1" ht="19.5" customHeight="1">
      <c r="A56" s="31" t="s">
        <v>125</v>
      </c>
      <c r="B56" s="168">
        <v>953</v>
      </c>
      <c r="C56" s="212">
        <v>953</v>
      </c>
      <c r="D56" s="212">
        <v>1145</v>
      </c>
      <c r="E56" s="213">
        <v>350</v>
      </c>
      <c r="F56" s="213">
        <v>0</v>
      </c>
      <c r="G56" s="213">
        <v>0</v>
      </c>
      <c r="H56" s="214">
        <f>795+E56+F56+G56</f>
        <v>1145</v>
      </c>
      <c r="I56" s="34">
        <f t="shared" si="16"/>
        <v>953</v>
      </c>
      <c r="J56" s="168">
        <v>36</v>
      </c>
      <c r="K56" s="169">
        <v>36</v>
      </c>
      <c r="L56" s="169">
        <v>131</v>
      </c>
      <c r="M56" s="170">
        <v>100</v>
      </c>
      <c r="N56" s="171">
        <f t="shared" si="17"/>
        <v>67</v>
      </c>
      <c r="O56" s="168">
        <f>244+185</f>
        <v>429</v>
      </c>
      <c r="P56" s="169">
        <f>181+185</f>
        <v>366</v>
      </c>
      <c r="Q56" s="170">
        <v>200</v>
      </c>
      <c r="R56" s="38">
        <f t="shared" si="18"/>
        <v>229</v>
      </c>
      <c r="S56" s="168">
        <f>30+20</f>
        <v>50</v>
      </c>
      <c r="T56" s="169">
        <v>50</v>
      </c>
      <c r="U56" s="170">
        <v>25</v>
      </c>
      <c r="V56" s="38">
        <f t="shared" si="19"/>
        <v>25</v>
      </c>
    </row>
    <row r="57" spans="1:22" s="40" customFormat="1" ht="19.5" customHeight="1" thickBot="1">
      <c r="A57" s="31" t="s">
        <v>126</v>
      </c>
      <c r="B57" s="168">
        <v>340</v>
      </c>
      <c r="C57" s="212">
        <v>340</v>
      </c>
      <c r="D57" s="212">
        <v>157</v>
      </c>
      <c r="E57" s="213">
        <v>0</v>
      </c>
      <c r="F57" s="213">
        <v>0</v>
      </c>
      <c r="G57" s="213">
        <v>0</v>
      </c>
      <c r="H57" s="214">
        <f>153+E57+F57+G57</f>
        <v>153</v>
      </c>
      <c r="I57" s="34">
        <f t="shared" si="16"/>
        <v>344</v>
      </c>
      <c r="J57" s="168">
        <f>488+73</f>
        <v>561</v>
      </c>
      <c r="K57" s="169">
        <v>561</v>
      </c>
      <c r="L57" s="169">
        <v>23</v>
      </c>
      <c r="M57" s="170">
        <v>73</v>
      </c>
      <c r="N57" s="171">
        <f t="shared" si="17"/>
        <v>511</v>
      </c>
      <c r="O57" s="168">
        <f>44+100</f>
        <v>144</v>
      </c>
      <c r="P57" s="169">
        <v>144</v>
      </c>
      <c r="Q57" s="170">
        <v>100</v>
      </c>
      <c r="R57" s="38">
        <f t="shared" si="18"/>
        <v>44</v>
      </c>
      <c r="S57" s="168">
        <f>171+9</f>
        <v>180</v>
      </c>
      <c r="T57" s="169">
        <v>180</v>
      </c>
      <c r="U57" s="170">
        <v>0</v>
      </c>
      <c r="V57" s="38">
        <f t="shared" si="19"/>
        <v>180</v>
      </c>
    </row>
    <row r="58" spans="1:28" s="218" customFormat="1" ht="19.5" customHeight="1" thickBot="1">
      <c r="A58" s="166" t="s">
        <v>18</v>
      </c>
      <c r="B58" s="167">
        <f>SUM(B59:B74)</f>
        <v>15384</v>
      </c>
      <c r="C58" s="167">
        <f>SUM(C59:C74)</f>
        <v>15425</v>
      </c>
      <c r="D58" s="165">
        <f aca="true" t="shared" si="20" ref="D58:V58">SUM(D59:D74)</f>
        <v>29460</v>
      </c>
      <c r="E58" s="165">
        <f t="shared" si="20"/>
        <v>12039</v>
      </c>
      <c r="F58" s="165">
        <f t="shared" si="20"/>
        <v>1540</v>
      </c>
      <c r="G58" s="165">
        <f t="shared" si="20"/>
        <v>5730</v>
      </c>
      <c r="H58" s="165">
        <f t="shared" si="20"/>
        <v>31038</v>
      </c>
      <c r="I58" s="29">
        <f t="shared" si="20"/>
        <v>13806</v>
      </c>
      <c r="J58" s="167">
        <f t="shared" si="20"/>
        <v>11721</v>
      </c>
      <c r="K58" s="165">
        <f t="shared" si="20"/>
        <v>11726</v>
      </c>
      <c r="L58" s="165">
        <f t="shared" si="20"/>
        <v>2795</v>
      </c>
      <c r="M58" s="165">
        <f t="shared" si="20"/>
        <v>4706</v>
      </c>
      <c r="N58" s="29">
        <f t="shared" si="20"/>
        <v>9810</v>
      </c>
      <c r="O58" s="167">
        <f t="shared" si="20"/>
        <v>7622</v>
      </c>
      <c r="P58" s="165">
        <f t="shared" si="20"/>
        <v>7288</v>
      </c>
      <c r="Q58" s="165">
        <f t="shared" si="20"/>
        <v>4988</v>
      </c>
      <c r="R58" s="29">
        <f t="shared" si="20"/>
        <v>2634</v>
      </c>
      <c r="S58" s="167">
        <f t="shared" si="20"/>
        <v>6502</v>
      </c>
      <c r="T58" s="165">
        <f t="shared" si="20"/>
        <v>6502</v>
      </c>
      <c r="U58" s="165">
        <f t="shared" si="20"/>
        <v>2523</v>
      </c>
      <c r="V58" s="29">
        <f t="shared" si="20"/>
        <v>3979</v>
      </c>
      <c r="W58" s="216"/>
      <c r="X58" s="217"/>
      <c r="Y58" s="217"/>
      <c r="Z58" s="217"/>
      <c r="AA58" s="217"/>
      <c r="AB58" s="217"/>
    </row>
    <row r="59" spans="1:25" s="219" customFormat="1" ht="19.5" customHeight="1">
      <c r="A59" s="180" t="s">
        <v>69</v>
      </c>
      <c r="B59" s="175">
        <v>191</v>
      </c>
      <c r="C59" s="176">
        <v>191</v>
      </c>
      <c r="D59" s="176">
        <v>695</v>
      </c>
      <c r="E59" s="177">
        <v>600</v>
      </c>
      <c r="F59" s="177">
        <v>0</v>
      </c>
      <c r="G59" s="177">
        <v>0</v>
      </c>
      <c r="H59" s="178">
        <f>234+E59+F59+G59</f>
        <v>834</v>
      </c>
      <c r="I59" s="70">
        <f>B59+D59-H59</f>
        <v>52</v>
      </c>
      <c r="J59" s="175">
        <f>71+102</f>
        <v>173</v>
      </c>
      <c r="K59" s="176">
        <f>71+102</f>
        <v>173</v>
      </c>
      <c r="L59" s="176">
        <v>24</v>
      </c>
      <c r="M59" s="177">
        <v>0</v>
      </c>
      <c r="N59" s="178">
        <f aca="true" t="shared" si="21" ref="N59:N74">J59+L59-M59</f>
        <v>197</v>
      </c>
      <c r="O59" s="175">
        <f>120+216</f>
        <v>336</v>
      </c>
      <c r="P59" s="176">
        <v>225</v>
      </c>
      <c r="Q59" s="177">
        <v>247</v>
      </c>
      <c r="R59" s="70">
        <f aca="true" t="shared" si="22" ref="R59:R74">O59-Q59</f>
        <v>89</v>
      </c>
      <c r="S59" s="175">
        <f>92+6</f>
        <v>98</v>
      </c>
      <c r="T59" s="177">
        <f>92+6</f>
        <v>98</v>
      </c>
      <c r="U59" s="177">
        <v>0</v>
      </c>
      <c r="V59" s="70">
        <f aca="true" t="shared" si="23" ref="V59:V74">S59-U59</f>
        <v>98</v>
      </c>
      <c r="Y59" s="219" t="s">
        <v>16</v>
      </c>
    </row>
    <row r="60" spans="1:22" s="40" customFormat="1" ht="19.5" customHeight="1">
      <c r="A60" s="141" t="s">
        <v>84</v>
      </c>
      <c r="B60" s="168">
        <v>99</v>
      </c>
      <c r="C60" s="169">
        <v>99</v>
      </c>
      <c r="D60" s="169">
        <v>1887</v>
      </c>
      <c r="E60" s="170">
        <v>0</v>
      </c>
      <c r="F60" s="170">
        <v>0</v>
      </c>
      <c r="G60" s="170">
        <v>900</v>
      </c>
      <c r="H60" s="171">
        <f>977+G60+E60+F60</f>
        <v>1877</v>
      </c>
      <c r="I60" s="38">
        <f aca="true" t="shared" si="24" ref="I60:I74">B60+D60-H60</f>
        <v>109</v>
      </c>
      <c r="J60" s="168">
        <v>761</v>
      </c>
      <c r="K60" s="169">
        <v>761</v>
      </c>
      <c r="L60" s="169">
        <v>174</v>
      </c>
      <c r="M60" s="170">
        <v>600</v>
      </c>
      <c r="N60" s="171">
        <f t="shared" si="21"/>
        <v>335</v>
      </c>
      <c r="O60" s="168">
        <f>114+224</f>
        <v>338</v>
      </c>
      <c r="P60" s="169">
        <f>105+224</f>
        <v>329</v>
      </c>
      <c r="Q60" s="170">
        <v>271</v>
      </c>
      <c r="R60" s="38">
        <f t="shared" si="22"/>
        <v>67</v>
      </c>
      <c r="S60" s="168">
        <f>697+174</f>
        <v>871</v>
      </c>
      <c r="T60" s="170">
        <f>174+697</f>
        <v>871</v>
      </c>
      <c r="U60" s="170">
        <v>500</v>
      </c>
      <c r="V60" s="38">
        <f t="shared" si="23"/>
        <v>371</v>
      </c>
    </row>
    <row r="61" spans="1:22" s="40" customFormat="1" ht="19.5" customHeight="1">
      <c r="A61" s="31" t="s">
        <v>132</v>
      </c>
      <c r="B61" s="168">
        <v>645</v>
      </c>
      <c r="C61" s="169">
        <v>648</v>
      </c>
      <c r="D61" s="169">
        <v>2314</v>
      </c>
      <c r="E61" s="170">
        <v>700</v>
      </c>
      <c r="F61" s="170">
        <v>300</v>
      </c>
      <c r="G61" s="170">
        <v>200</v>
      </c>
      <c r="H61" s="171">
        <f>1060+E61+F61+G61</f>
        <v>2260</v>
      </c>
      <c r="I61" s="38">
        <f t="shared" si="24"/>
        <v>699</v>
      </c>
      <c r="J61" s="168">
        <f>363+329</f>
        <v>692</v>
      </c>
      <c r="K61" s="169">
        <f>363+329</f>
        <v>692</v>
      </c>
      <c r="L61" s="169">
        <v>152</v>
      </c>
      <c r="M61" s="170">
        <v>20</v>
      </c>
      <c r="N61" s="171">
        <f t="shared" si="21"/>
        <v>824</v>
      </c>
      <c r="O61" s="168">
        <f>252+174</f>
        <v>426</v>
      </c>
      <c r="P61" s="169">
        <f>252+48</f>
        <v>300</v>
      </c>
      <c r="Q61" s="170">
        <v>230</v>
      </c>
      <c r="R61" s="38">
        <f t="shared" si="22"/>
        <v>196</v>
      </c>
      <c r="S61" s="168">
        <f>100+199</f>
        <v>299</v>
      </c>
      <c r="T61" s="169">
        <f>100+199</f>
        <v>299</v>
      </c>
      <c r="U61" s="170">
        <v>0</v>
      </c>
      <c r="V61" s="38">
        <f t="shared" si="23"/>
        <v>299</v>
      </c>
    </row>
    <row r="62" spans="1:22" s="40" customFormat="1" ht="19.5" customHeight="1">
      <c r="A62" s="141" t="s">
        <v>34</v>
      </c>
      <c r="B62" s="168">
        <v>1147</v>
      </c>
      <c r="C62" s="222">
        <v>1147</v>
      </c>
      <c r="D62" s="222">
        <v>1503</v>
      </c>
      <c r="E62" s="170">
        <v>330</v>
      </c>
      <c r="F62" s="170">
        <v>0</v>
      </c>
      <c r="G62" s="170">
        <v>0</v>
      </c>
      <c r="H62" s="171">
        <f>767+E62+F62+G62</f>
        <v>1097</v>
      </c>
      <c r="I62" s="38">
        <f t="shared" si="24"/>
        <v>1553</v>
      </c>
      <c r="J62" s="168">
        <v>1356</v>
      </c>
      <c r="K62" s="169">
        <v>1356</v>
      </c>
      <c r="L62" s="169">
        <v>416</v>
      </c>
      <c r="M62" s="170">
        <v>0</v>
      </c>
      <c r="N62" s="171">
        <f t="shared" si="21"/>
        <v>1772</v>
      </c>
      <c r="O62" s="168">
        <f>275+392</f>
        <v>667</v>
      </c>
      <c r="P62" s="169">
        <v>667</v>
      </c>
      <c r="Q62" s="170">
        <v>388</v>
      </c>
      <c r="R62" s="38">
        <f t="shared" si="22"/>
        <v>279</v>
      </c>
      <c r="S62" s="168">
        <f>250+1050</f>
        <v>1300</v>
      </c>
      <c r="T62" s="170">
        <f>250+1050</f>
        <v>1300</v>
      </c>
      <c r="U62" s="170">
        <v>300</v>
      </c>
      <c r="V62" s="38">
        <f t="shared" si="23"/>
        <v>1000</v>
      </c>
    </row>
    <row r="63" spans="1:22" s="40" customFormat="1" ht="19.5" customHeight="1">
      <c r="A63" s="220" t="s">
        <v>88</v>
      </c>
      <c r="B63" s="221">
        <v>305</v>
      </c>
      <c r="C63" s="222">
        <v>305</v>
      </c>
      <c r="D63" s="222">
        <v>717</v>
      </c>
      <c r="E63" s="223">
        <v>0</v>
      </c>
      <c r="F63" s="223">
        <v>200</v>
      </c>
      <c r="G63" s="223">
        <v>0</v>
      </c>
      <c r="H63" s="224">
        <f>394+E63+F63+G63</f>
        <v>594</v>
      </c>
      <c r="I63" s="90">
        <f t="shared" si="24"/>
        <v>428</v>
      </c>
      <c r="J63" s="168">
        <f>54+115</f>
        <v>169</v>
      </c>
      <c r="K63" s="222">
        <f>54+115</f>
        <v>169</v>
      </c>
      <c r="L63" s="169">
        <v>8</v>
      </c>
      <c r="M63" s="170">
        <v>0</v>
      </c>
      <c r="N63" s="171">
        <f t="shared" si="21"/>
        <v>177</v>
      </c>
      <c r="O63" s="168">
        <v>499</v>
      </c>
      <c r="P63" s="222">
        <v>499</v>
      </c>
      <c r="Q63" s="170">
        <v>160</v>
      </c>
      <c r="R63" s="38">
        <f t="shared" si="22"/>
        <v>339</v>
      </c>
      <c r="S63" s="168">
        <v>61</v>
      </c>
      <c r="T63" s="223">
        <v>61</v>
      </c>
      <c r="U63" s="170">
        <v>0</v>
      </c>
      <c r="V63" s="38">
        <f t="shared" si="23"/>
        <v>61</v>
      </c>
    </row>
    <row r="64" spans="1:22" s="40" customFormat="1" ht="19.5" customHeight="1">
      <c r="A64" s="141" t="s">
        <v>89</v>
      </c>
      <c r="B64" s="168">
        <v>2418</v>
      </c>
      <c r="C64" s="222">
        <v>2418</v>
      </c>
      <c r="D64" s="222">
        <v>2316</v>
      </c>
      <c r="E64" s="170">
        <v>520</v>
      </c>
      <c r="F64" s="170">
        <v>0</v>
      </c>
      <c r="G64" s="170">
        <v>0</v>
      </c>
      <c r="H64" s="171">
        <f>1843+E64+F64+G64</f>
        <v>2363</v>
      </c>
      <c r="I64" s="38">
        <f t="shared" si="24"/>
        <v>2371</v>
      </c>
      <c r="J64" s="168">
        <f>743+551</f>
        <v>1294</v>
      </c>
      <c r="K64" s="169">
        <v>1294</v>
      </c>
      <c r="L64" s="169">
        <v>391</v>
      </c>
      <c r="M64" s="223">
        <v>500</v>
      </c>
      <c r="N64" s="171">
        <f t="shared" si="21"/>
        <v>1185</v>
      </c>
      <c r="O64" s="168">
        <f>385+664</f>
        <v>1049</v>
      </c>
      <c r="P64" s="169">
        <v>1070</v>
      </c>
      <c r="Q64" s="170">
        <v>800</v>
      </c>
      <c r="R64" s="38">
        <f t="shared" si="22"/>
        <v>249</v>
      </c>
      <c r="S64" s="168">
        <f>20+674</f>
        <v>694</v>
      </c>
      <c r="T64" s="170">
        <f>20+674</f>
        <v>694</v>
      </c>
      <c r="U64" s="170">
        <v>0</v>
      </c>
      <c r="V64" s="38">
        <f t="shared" si="23"/>
        <v>694</v>
      </c>
    </row>
    <row r="65" spans="1:22" s="92" customFormat="1" ht="19.5" customHeight="1">
      <c r="A65" s="220" t="s">
        <v>35</v>
      </c>
      <c r="B65" s="221">
        <v>1193</v>
      </c>
      <c r="C65" s="222">
        <v>1193</v>
      </c>
      <c r="D65" s="222">
        <v>3746</v>
      </c>
      <c r="E65" s="223">
        <v>2600</v>
      </c>
      <c r="F65" s="223">
        <v>160</v>
      </c>
      <c r="G65" s="223">
        <f>100+120+1200</f>
        <v>1420</v>
      </c>
      <c r="H65" s="224">
        <f>455+E65+G65+F65</f>
        <v>4635</v>
      </c>
      <c r="I65" s="90">
        <f t="shared" si="24"/>
        <v>304</v>
      </c>
      <c r="J65" s="221">
        <f>214+84</f>
        <v>298</v>
      </c>
      <c r="K65" s="222">
        <f>214+84</f>
        <v>298</v>
      </c>
      <c r="L65" s="222">
        <v>89</v>
      </c>
      <c r="M65" s="223">
        <f>13+209</f>
        <v>222</v>
      </c>
      <c r="N65" s="224">
        <f t="shared" si="21"/>
        <v>165</v>
      </c>
      <c r="O65" s="221">
        <f>200+590</f>
        <v>790</v>
      </c>
      <c r="P65" s="222">
        <f>200+590</f>
        <v>790</v>
      </c>
      <c r="Q65" s="223">
        <v>330</v>
      </c>
      <c r="R65" s="90">
        <f t="shared" si="22"/>
        <v>460</v>
      </c>
      <c r="S65" s="221">
        <f>100+340</f>
        <v>440</v>
      </c>
      <c r="T65" s="223">
        <f>100+340</f>
        <v>440</v>
      </c>
      <c r="U65" s="223">
        <v>140</v>
      </c>
      <c r="V65" s="90">
        <f t="shared" si="23"/>
        <v>300</v>
      </c>
    </row>
    <row r="66" spans="1:22" s="40" customFormat="1" ht="19.5" customHeight="1">
      <c r="A66" s="141" t="s">
        <v>36</v>
      </c>
      <c r="B66" s="168">
        <v>37</v>
      </c>
      <c r="C66" s="222">
        <v>37</v>
      </c>
      <c r="D66" s="222">
        <v>1486</v>
      </c>
      <c r="E66" s="170">
        <v>120</v>
      </c>
      <c r="F66" s="170">
        <v>630</v>
      </c>
      <c r="G66" s="170">
        <v>0</v>
      </c>
      <c r="H66" s="171">
        <f>772+E66+F66+G66</f>
        <v>1522</v>
      </c>
      <c r="I66" s="38">
        <f t="shared" si="24"/>
        <v>1</v>
      </c>
      <c r="J66" s="168">
        <v>327</v>
      </c>
      <c r="K66" s="169">
        <v>327</v>
      </c>
      <c r="L66" s="169">
        <f>14+15</f>
        <v>29</v>
      </c>
      <c r="M66" s="170">
        <v>339</v>
      </c>
      <c r="N66" s="171">
        <f t="shared" si="21"/>
        <v>17</v>
      </c>
      <c r="O66" s="168">
        <f>272+18</f>
        <v>290</v>
      </c>
      <c r="P66" s="169">
        <f>32+272</f>
        <v>304</v>
      </c>
      <c r="Q66" s="170">
        <v>288</v>
      </c>
      <c r="R66" s="38">
        <f t="shared" si="22"/>
        <v>2</v>
      </c>
      <c r="S66" s="168">
        <v>161</v>
      </c>
      <c r="T66" s="170">
        <v>161</v>
      </c>
      <c r="U66" s="170">
        <v>50</v>
      </c>
      <c r="V66" s="38">
        <f t="shared" si="23"/>
        <v>111</v>
      </c>
    </row>
    <row r="67" spans="1:22" s="92" customFormat="1" ht="19.5" customHeight="1">
      <c r="A67" s="220" t="s">
        <v>276</v>
      </c>
      <c r="B67" s="221">
        <v>1819</v>
      </c>
      <c r="C67" s="222">
        <v>1819</v>
      </c>
      <c r="D67" s="222">
        <v>5549</v>
      </c>
      <c r="E67" s="393">
        <f>3430-100</f>
        <v>3330</v>
      </c>
      <c r="F67" s="393">
        <v>100</v>
      </c>
      <c r="G67" s="223">
        <v>2110</v>
      </c>
      <c r="H67" s="224">
        <f>1012+E67+F67+G67</f>
        <v>6552</v>
      </c>
      <c r="I67" s="90">
        <f t="shared" si="24"/>
        <v>816</v>
      </c>
      <c r="J67" s="221">
        <f>756+29</f>
        <v>785</v>
      </c>
      <c r="K67" s="222">
        <f>756+29</f>
        <v>785</v>
      </c>
      <c r="L67" s="222">
        <v>202</v>
      </c>
      <c r="M67" s="223">
        <v>200</v>
      </c>
      <c r="N67" s="224">
        <f t="shared" si="21"/>
        <v>787</v>
      </c>
      <c r="O67" s="221">
        <f>250+529</f>
        <v>779</v>
      </c>
      <c r="P67" s="222">
        <f>250+527</f>
        <v>777</v>
      </c>
      <c r="Q67" s="223">
        <v>320</v>
      </c>
      <c r="R67" s="90">
        <f t="shared" si="22"/>
        <v>459</v>
      </c>
      <c r="S67" s="221">
        <v>413</v>
      </c>
      <c r="T67" s="223">
        <v>413</v>
      </c>
      <c r="U67" s="223">
        <v>100</v>
      </c>
      <c r="V67" s="90">
        <f t="shared" si="23"/>
        <v>313</v>
      </c>
    </row>
    <row r="68" spans="1:22" s="40" customFormat="1" ht="19.5" customHeight="1">
      <c r="A68" s="141" t="s">
        <v>90</v>
      </c>
      <c r="B68" s="168">
        <v>1267</v>
      </c>
      <c r="C68" s="222">
        <v>1267</v>
      </c>
      <c r="D68" s="222">
        <v>1070</v>
      </c>
      <c r="E68" s="170">
        <v>550</v>
      </c>
      <c r="F68" s="170">
        <v>0</v>
      </c>
      <c r="G68" s="170">
        <v>300</v>
      </c>
      <c r="H68" s="171">
        <f>522+E68+F68+G68</f>
        <v>1372</v>
      </c>
      <c r="I68" s="38">
        <f t="shared" si="24"/>
        <v>965</v>
      </c>
      <c r="J68" s="168">
        <v>2664</v>
      </c>
      <c r="K68" s="169">
        <v>2664</v>
      </c>
      <c r="L68" s="169">
        <v>270</v>
      </c>
      <c r="M68" s="170">
        <v>800</v>
      </c>
      <c r="N68" s="171">
        <f t="shared" si="21"/>
        <v>2134</v>
      </c>
      <c r="O68" s="168">
        <v>328</v>
      </c>
      <c r="P68" s="169">
        <v>323</v>
      </c>
      <c r="Q68" s="170">
        <v>245</v>
      </c>
      <c r="R68" s="38">
        <f t="shared" si="22"/>
        <v>83</v>
      </c>
      <c r="S68" s="168">
        <f>1083+101</f>
        <v>1184</v>
      </c>
      <c r="T68" s="170">
        <f>1083+101</f>
        <v>1184</v>
      </c>
      <c r="U68" s="223">
        <v>1000</v>
      </c>
      <c r="V68" s="38">
        <f t="shared" si="23"/>
        <v>184</v>
      </c>
    </row>
    <row r="69" spans="1:22" s="92" customFormat="1" ht="19.5" customHeight="1">
      <c r="A69" s="359" t="s">
        <v>38</v>
      </c>
      <c r="B69" s="231">
        <v>751</v>
      </c>
      <c r="C69" s="194">
        <v>751</v>
      </c>
      <c r="D69" s="194">
        <v>1070</v>
      </c>
      <c r="E69" s="195">
        <v>443</v>
      </c>
      <c r="F69" s="195">
        <v>0</v>
      </c>
      <c r="G69" s="195">
        <v>0</v>
      </c>
      <c r="H69" s="232">
        <f>586+E69+F69+G69</f>
        <v>1029</v>
      </c>
      <c r="I69" s="233">
        <f t="shared" si="24"/>
        <v>792</v>
      </c>
      <c r="J69" s="231">
        <f>113+14</f>
        <v>127</v>
      </c>
      <c r="K69" s="194">
        <f>113+14</f>
        <v>127</v>
      </c>
      <c r="L69" s="194">
        <v>103</v>
      </c>
      <c r="M69" s="195">
        <v>120</v>
      </c>
      <c r="N69" s="232">
        <f t="shared" si="21"/>
        <v>110</v>
      </c>
      <c r="O69" s="231">
        <f>142+260</f>
        <v>402</v>
      </c>
      <c r="P69" s="194">
        <v>402</v>
      </c>
      <c r="Q69" s="195">
        <v>400</v>
      </c>
      <c r="R69" s="233">
        <f t="shared" si="22"/>
        <v>2</v>
      </c>
      <c r="S69" s="231">
        <v>13</v>
      </c>
      <c r="T69" s="195">
        <v>13</v>
      </c>
      <c r="U69" s="195">
        <v>0</v>
      </c>
      <c r="V69" s="233">
        <f t="shared" si="23"/>
        <v>13</v>
      </c>
    </row>
    <row r="70" spans="1:23" s="40" customFormat="1" ht="19.5" customHeight="1">
      <c r="A70" s="187" t="s">
        <v>91</v>
      </c>
      <c r="B70" s="188">
        <v>1288</v>
      </c>
      <c r="C70" s="194">
        <v>1288</v>
      </c>
      <c r="D70" s="194">
        <v>1784</v>
      </c>
      <c r="E70" s="190">
        <v>1661</v>
      </c>
      <c r="F70" s="190">
        <v>0</v>
      </c>
      <c r="G70" s="190">
        <v>0</v>
      </c>
      <c r="H70" s="191">
        <f>904+E70+F70+G70</f>
        <v>2565</v>
      </c>
      <c r="I70" s="71">
        <f t="shared" si="24"/>
        <v>507</v>
      </c>
      <c r="J70" s="188">
        <f>680+795</f>
        <v>1475</v>
      </c>
      <c r="K70" s="189">
        <f>680+795+5</f>
        <v>1480</v>
      </c>
      <c r="L70" s="189">
        <v>94</v>
      </c>
      <c r="M70" s="190">
        <v>795</v>
      </c>
      <c r="N70" s="191">
        <f t="shared" si="21"/>
        <v>774</v>
      </c>
      <c r="O70" s="188">
        <f>245+82</f>
        <v>327</v>
      </c>
      <c r="P70" s="189">
        <v>327</v>
      </c>
      <c r="Q70" s="190">
        <v>327</v>
      </c>
      <c r="R70" s="71">
        <f t="shared" si="22"/>
        <v>0</v>
      </c>
      <c r="S70" s="188">
        <f>23+202</f>
        <v>225</v>
      </c>
      <c r="T70" s="190">
        <f>23+202</f>
        <v>225</v>
      </c>
      <c r="U70" s="190">
        <v>33</v>
      </c>
      <c r="V70" s="71">
        <f t="shared" si="23"/>
        <v>192</v>
      </c>
      <c r="W70" s="174"/>
    </row>
    <row r="71" spans="1:22" s="40" customFormat="1" ht="19.5" customHeight="1">
      <c r="A71" s="187" t="s">
        <v>39</v>
      </c>
      <c r="B71" s="188">
        <v>425</v>
      </c>
      <c r="C71" s="194">
        <v>425</v>
      </c>
      <c r="D71" s="194">
        <v>1149</v>
      </c>
      <c r="E71" s="190">
        <v>540</v>
      </c>
      <c r="F71" s="190">
        <v>0</v>
      </c>
      <c r="G71" s="190">
        <v>200</v>
      </c>
      <c r="H71" s="191">
        <f>625+E71+F71+G71</f>
        <v>1365</v>
      </c>
      <c r="I71" s="71">
        <f t="shared" si="24"/>
        <v>209</v>
      </c>
      <c r="J71" s="188">
        <f>65+9</f>
        <v>74</v>
      </c>
      <c r="K71" s="189">
        <f>65+9</f>
        <v>74</v>
      </c>
      <c r="L71" s="189">
        <v>299</v>
      </c>
      <c r="M71" s="190">
        <f>200+9</f>
        <v>209</v>
      </c>
      <c r="N71" s="191">
        <f t="shared" si="21"/>
        <v>164</v>
      </c>
      <c r="O71" s="188">
        <f>199+37</f>
        <v>236</v>
      </c>
      <c r="P71" s="189">
        <v>236</v>
      </c>
      <c r="Q71" s="190">
        <v>236</v>
      </c>
      <c r="R71" s="71">
        <f t="shared" si="22"/>
        <v>0</v>
      </c>
      <c r="S71" s="188">
        <v>5</v>
      </c>
      <c r="T71" s="190">
        <v>5</v>
      </c>
      <c r="U71" s="190">
        <v>0</v>
      </c>
      <c r="V71" s="71">
        <f t="shared" si="23"/>
        <v>5</v>
      </c>
    </row>
    <row r="72" spans="1:22" s="40" customFormat="1" ht="19.5" customHeight="1">
      <c r="A72" s="187" t="s">
        <v>40</v>
      </c>
      <c r="B72" s="188">
        <v>2062</v>
      </c>
      <c r="C72" s="194">
        <v>2062</v>
      </c>
      <c r="D72" s="194">
        <v>1474</v>
      </c>
      <c r="E72" s="190">
        <v>120</v>
      </c>
      <c r="F72" s="190">
        <v>150</v>
      </c>
      <c r="G72" s="190">
        <v>300</v>
      </c>
      <c r="H72" s="191">
        <f>710+E72+F72+G72</f>
        <v>1280</v>
      </c>
      <c r="I72" s="71">
        <f t="shared" si="24"/>
        <v>2256</v>
      </c>
      <c r="J72" s="188">
        <v>71</v>
      </c>
      <c r="K72" s="189">
        <v>71</v>
      </c>
      <c r="L72" s="189">
        <v>240</v>
      </c>
      <c r="M72" s="190">
        <v>100</v>
      </c>
      <c r="N72" s="191">
        <f t="shared" si="21"/>
        <v>211</v>
      </c>
      <c r="O72" s="188">
        <f>173+180</f>
        <v>353</v>
      </c>
      <c r="P72" s="189">
        <v>310</v>
      </c>
      <c r="Q72" s="190">
        <v>300</v>
      </c>
      <c r="R72" s="71">
        <f t="shared" si="22"/>
        <v>53</v>
      </c>
      <c r="S72" s="188">
        <v>256</v>
      </c>
      <c r="T72" s="190">
        <v>256</v>
      </c>
      <c r="U72" s="190">
        <v>0</v>
      </c>
      <c r="V72" s="71">
        <f t="shared" si="23"/>
        <v>256</v>
      </c>
    </row>
    <row r="73" spans="1:22" s="40" customFormat="1" ht="19.5" customHeight="1">
      <c r="A73" s="182" t="s">
        <v>92</v>
      </c>
      <c r="B73" s="168">
        <v>1358</v>
      </c>
      <c r="C73" s="222">
        <v>1396</v>
      </c>
      <c r="D73" s="222">
        <v>2020</v>
      </c>
      <c r="E73" s="223">
        <v>225</v>
      </c>
      <c r="F73" s="170">
        <v>0</v>
      </c>
      <c r="G73" s="170">
        <v>300</v>
      </c>
      <c r="H73" s="171">
        <f>469+E73+F73+G73</f>
        <v>994</v>
      </c>
      <c r="I73" s="38">
        <f t="shared" si="24"/>
        <v>2384</v>
      </c>
      <c r="J73" s="168">
        <v>828</v>
      </c>
      <c r="K73" s="169">
        <v>828</v>
      </c>
      <c r="L73" s="169">
        <v>95</v>
      </c>
      <c r="M73" s="170">
        <f>725+76</f>
        <v>801</v>
      </c>
      <c r="N73" s="171">
        <f t="shared" si="21"/>
        <v>122</v>
      </c>
      <c r="O73" s="168">
        <f>175+361</f>
        <v>536</v>
      </c>
      <c r="P73" s="169">
        <v>534</v>
      </c>
      <c r="Q73" s="170">
        <v>240</v>
      </c>
      <c r="R73" s="38">
        <f t="shared" si="22"/>
        <v>296</v>
      </c>
      <c r="S73" s="168">
        <f>399+80</f>
        <v>479</v>
      </c>
      <c r="T73" s="170">
        <f>399+80</f>
        <v>479</v>
      </c>
      <c r="U73" s="170">
        <v>400</v>
      </c>
      <c r="V73" s="38">
        <f t="shared" si="23"/>
        <v>79</v>
      </c>
    </row>
    <row r="74" spans="1:22" s="40" customFormat="1" ht="19.5" customHeight="1" thickBot="1">
      <c r="A74" s="430" t="s">
        <v>93</v>
      </c>
      <c r="B74" s="188">
        <f>379</f>
        <v>379</v>
      </c>
      <c r="C74" s="194">
        <v>379</v>
      </c>
      <c r="D74" s="194">
        <v>680</v>
      </c>
      <c r="E74" s="190">
        <v>300</v>
      </c>
      <c r="F74" s="190">
        <v>0</v>
      </c>
      <c r="G74" s="190">
        <v>0</v>
      </c>
      <c r="H74" s="191">
        <f>399+E74+F74+G74</f>
        <v>699</v>
      </c>
      <c r="I74" s="71">
        <f t="shared" si="24"/>
        <v>360</v>
      </c>
      <c r="J74" s="188">
        <v>627</v>
      </c>
      <c r="K74" s="189">
        <v>627</v>
      </c>
      <c r="L74" s="189">
        <v>209</v>
      </c>
      <c r="M74" s="190">
        <v>0</v>
      </c>
      <c r="N74" s="191">
        <f t="shared" si="21"/>
        <v>836</v>
      </c>
      <c r="O74" s="188">
        <f>110+156</f>
        <v>266</v>
      </c>
      <c r="P74" s="189">
        <v>195</v>
      </c>
      <c r="Q74" s="190">
        <v>206</v>
      </c>
      <c r="R74" s="71">
        <f t="shared" si="22"/>
        <v>60</v>
      </c>
      <c r="S74" s="188">
        <v>3</v>
      </c>
      <c r="T74" s="190">
        <v>3</v>
      </c>
      <c r="U74" s="190">
        <v>0</v>
      </c>
      <c r="V74" s="71">
        <f t="shared" si="23"/>
        <v>3</v>
      </c>
    </row>
    <row r="75" spans="1:256" s="235" customFormat="1" ht="19.5" customHeight="1" thickBot="1">
      <c r="A75" s="166" t="s">
        <v>41</v>
      </c>
      <c r="B75" s="167">
        <f>SUM(B76)</f>
        <v>347</v>
      </c>
      <c r="C75" s="165">
        <f aca="true" t="shared" si="25" ref="C75:V75">SUM(C76)</f>
        <v>347</v>
      </c>
      <c r="D75" s="165">
        <f t="shared" si="25"/>
        <v>416</v>
      </c>
      <c r="E75" s="165">
        <f t="shared" si="25"/>
        <v>500</v>
      </c>
      <c r="F75" s="165">
        <f t="shared" si="25"/>
        <v>0</v>
      </c>
      <c r="G75" s="165">
        <f t="shared" si="25"/>
        <v>0</v>
      </c>
      <c r="H75" s="165">
        <f t="shared" si="25"/>
        <v>677</v>
      </c>
      <c r="I75" s="29">
        <f t="shared" si="25"/>
        <v>86</v>
      </c>
      <c r="J75" s="167">
        <f t="shared" si="25"/>
        <v>77</v>
      </c>
      <c r="K75" s="165">
        <f t="shared" si="25"/>
        <v>77</v>
      </c>
      <c r="L75" s="165">
        <f t="shared" si="25"/>
        <v>5</v>
      </c>
      <c r="M75" s="165">
        <f t="shared" si="25"/>
        <v>2</v>
      </c>
      <c r="N75" s="29">
        <f t="shared" si="25"/>
        <v>80</v>
      </c>
      <c r="O75" s="167">
        <f t="shared" si="25"/>
        <v>179</v>
      </c>
      <c r="P75" s="165">
        <f t="shared" si="25"/>
        <v>179</v>
      </c>
      <c r="Q75" s="165">
        <f t="shared" si="25"/>
        <v>175</v>
      </c>
      <c r="R75" s="29">
        <f t="shared" si="25"/>
        <v>4</v>
      </c>
      <c r="S75" s="167">
        <f t="shared" si="25"/>
        <v>20</v>
      </c>
      <c r="T75" s="165">
        <f t="shared" si="25"/>
        <v>20</v>
      </c>
      <c r="U75" s="165">
        <f t="shared" si="25"/>
        <v>0</v>
      </c>
      <c r="V75" s="29">
        <f t="shared" si="25"/>
        <v>20</v>
      </c>
      <c r="W75" s="193"/>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c r="HT75" s="86"/>
      <c r="HU75" s="86"/>
      <c r="HV75" s="86"/>
      <c r="HW75" s="86"/>
      <c r="HX75" s="86"/>
      <c r="HY75" s="86"/>
      <c r="HZ75" s="86"/>
      <c r="IA75" s="86"/>
      <c r="IB75" s="86"/>
      <c r="IC75" s="86"/>
      <c r="ID75" s="86"/>
      <c r="IE75" s="86"/>
      <c r="IF75" s="86"/>
      <c r="IG75" s="86"/>
      <c r="IH75" s="86"/>
      <c r="II75" s="86"/>
      <c r="IJ75" s="86"/>
      <c r="IK75" s="86"/>
      <c r="IL75" s="86"/>
      <c r="IM75" s="86"/>
      <c r="IN75" s="86"/>
      <c r="IO75" s="86"/>
      <c r="IP75" s="86"/>
      <c r="IQ75" s="86"/>
      <c r="IR75" s="86"/>
      <c r="IS75" s="86"/>
      <c r="IT75" s="86"/>
      <c r="IU75" s="86"/>
      <c r="IV75" s="86"/>
    </row>
    <row r="76" spans="1:256" s="40" customFormat="1" ht="19.5" customHeight="1" thickBot="1">
      <c r="A76" s="96" t="s">
        <v>54</v>
      </c>
      <c r="B76" s="236">
        <v>347</v>
      </c>
      <c r="C76" s="237">
        <v>347</v>
      </c>
      <c r="D76" s="237">
        <v>416</v>
      </c>
      <c r="E76" s="238">
        <v>500</v>
      </c>
      <c r="F76" s="238">
        <v>0</v>
      </c>
      <c r="G76" s="238">
        <v>0</v>
      </c>
      <c r="H76" s="239">
        <f>500+177</f>
        <v>677</v>
      </c>
      <c r="I76" s="151">
        <f>B76+D76-H76</f>
        <v>86</v>
      </c>
      <c r="J76" s="236">
        <v>77</v>
      </c>
      <c r="K76" s="237">
        <v>77</v>
      </c>
      <c r="L76" s="237">
        <v>5</v>
      </c>
      <c r="M76" s="238">
        <v>2</v>
      </c>
      <c r="N76" s="239">
        <f>J76+L76-M76</f>
        <v>80</v>
      </c>
      <c r="O76" s="236">
        <f>54+125</f>
        <v>179</v>
      </c>
      <c r="P76" s="237">
        <v>179</v>
      </c>
      <c r="Q76" s="238">
        <v>175</v>
      </c>
      <c r="R76" s="151">
        <f>O76-Q76</f>
        <v>4</v>
      </c>
      <c r="S76" s="236">
        <v>20</v>
      </c>
      <c r="T76" s="237">
        <v>20</v>
      </c>
      <c r="U76" s="238">
        <v>0</v>
      </c>
      <c r="V76" s="151">
        <f>S76-U76</f>
        <v>20</v>
      </c>
      <c r="W76" s="240"/>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79"/>
      <c r="CL76" s="179"/>
      <c r="CM76" s="179"/>
      <c r="CN76" s="179"/>
      <c r="CO76" s="179"/>
      <c r="CP76" s="179"/>
      <c r="CQ76" s="179"/>
      <c r="CR76" s="179"/>
      <c r="CS76" s="179"/>
      <c r="CT76" s="179"/>
      <c r="CU76" s="179"/>
      <c r="CV76" s="179"/>
      <c r="CW76" s="179"/>
      <c r="CX76" s="179"/>
      <c r="CY76" s="179"/>
      <c r="CZ76" s="179"/>
      <c r="DA76" s="179"/>
      <c r="DB76" s="179"/>
      <c r="DC76" s="179"/>
      <c r="DD76" s="179"/>
      <c r="DE76" s="179"/>
      <c r="DF76" s="179"/>
      <c r="DG76" s="179"/>
      <c r="DH76" s="179"/>
      <c r="DI76" s="179"/>
      <c r="DJ76" s="179"/>
      <c r="DK76" s="179"/>
      <c r="DL76" s="179"/>
      <c r="DM76" s="179"/>
      <c r="DN76" s="179"/>
      <c r="DO76" s="179"/>
      <c r="DP76" s="179"/>
      <c r="DQ76" s="179"/>
      <c r="DR76" s="179"/>
      <c r="DS76" s="179"/>
      <c r="DT76" s="179"/>
      <c r="DU76" s="179"/>
      <c r="DV76" s="179"/>
      <c r="DW76" s="179"/>
      <c r="DX76" s="179"/>
      <c r="DY76" s="179"/>
      <c r="DZ76" s="179"/>
      <c r="EA76" s="179"/>
      <c r="EB76" s="179"/>
      <c r="EC76" s="179"/>
      <c r="ED76" s="179"/>
      <c r="EE76" s="179"/>
      <c r="EF76" s="179"/>
      <c r="EG76" s="179"/>
      <c r="EH76" s="179"/>
      <c r="EI76" s="179"/>
      <c r="EJ76" s="179"/>
      <c r="EK76" s="179"/>
      <c r="EL76" s="179"/>
      <c r="EM76" s="179"/>
      <c r="EN76" s="179"/>
      <c r="EO76" s="179"/>
      <c r="EP76" s="179"/>
      <c r="EQ76" s="179"/>
      <c r="ER76" s="179"/>
      <c r="ES76" s="179"/>
      <c r="ET76" s="179"/>
      <c r="EU76" s="179"/>
      <c r="EV76" s="179"/>
      <c r="EW76" s="179"/>
      <c r="EX76" s="179"/>
      <c r="EY76" s="179"/>
      <c r="EZ76" s="179"/>
      <c r="FA76" s="179"/>
      <c r="FB76" s="179"/>
      <c r="FC76" s="179"/>
      <c r="FD76" s="179"/>
      <c r="FE76" s="179"/>
      <c r="FF76" s="179"/>
      <c r="FG76" s="179"/>
      <c r="FH76" s="179"/>
      <c r="FI76" s="179"/>
      <c r="FJ76" s="179"/>
      <c r="FK76" s="179"/>
      <c r="FL76" s="179"/>
      <c r="FM76" s="179"/>
      <c r="FN76" s="179"/>
      <c r="FO76" s="179"/>
      <c r="FP76" s="179"/>
      <c r="FQ76" s="179"/>
      <c r="FR76" s="179"/>
      <c r="FS76" s="179"/>
      <c r="FT76" s="179"/>
      <c r="FU76" s="179"/>
      <c r="FV76" s="179"/>
      <c r="FW76" s="179"/>
      <c r="FX76" s="179"/>
      <c r="FY76" s="179"/>
      <c r="FZ76" s="179"/>
      <c r="GA76" s="179"/>
      <c r="GB76" s="179"/>
      <c r="GC76" s="179"/>
      <c r="GD76" s="179"/>
      <c r="GE76" s="179"/>
      <c r="GF76" s="179"/>
      <c r="GG76" s="179"/>
      <c r="GH76" s="179"/>
      <c r="GI76" s="179"/>
      <c r="GJ76" s="179"/>
      <c r="GK76" s="179"/>
      <c r="GL76" s="179"/>
      <c r="GM76" s="179"/>
      <c r="GN76" s="179"/>
      <c r="GO76" s="179"/>
      <c r="GP76" s="179"/>
      <c r="GQ76" s="179"/>
      <c r="GR76" s="179"/>
      <c r="GS76" s="179"/>
      <c r="GT76" s="179"/>
      <c r="GU76" s="179"/>
      <c r="GV76" s="179"/>
      <c r="GW76" s="179"/>
      <c r="GX76" s="179"/>
      <c r="GY76" s="179"/>
      <c r="GZ76" s="179"/>
      <c r="HA76" s="179"/>
      <c r="HB76" s="179"/>
      <c r="HC76" s="179"/>
      <c r="HD76" s="179"/>
      <c r="HE76" s="179"/>
      <c r="HF76" s="179"/>
      <c r="HG76" s="179"/>
      <c r="HH76" s="179"/>
      <c r="HI76" s="179"/>
      <c r="HJ76" s="179"/>
      <c r="HK76" s="179"/>
      <c r="HL76" s="179"/>
      <c r="HM76" s="179"/>
      <c r="HN76" s="179"/>
      <c r="HO76" s="179"/>
      <c r="HP76" s="179"/>
      <c r="HQ76" s="179"/>
      <c r="HR76" s="179"/>
      <c r="HS76" s="179"/>
      <c r="HT76" s="179"/>
      <c r="HU76" s="179"/>
      <c r="HV76" s="179"/>
      <c r="HW76" s="179"/>
      <c r="HX76" s="179"/>
      <c r="HY76" s="179"/>
      <c r="HZ76" s="179"/>
      <c r="IA76" s="179"/>
      <c r="IB76" s="179"/>
      <c r="IC76" s="179"/>
      <c r="ID76" s="179"/>
      <c r="IE76" s="179"/>
      <c r="IF76" s="179"/>
      <c r="IG76" s="179"/>
      <c r="IH76" s="179"/>
      <c r="II76" s="179"/>
      <c r="IJ76" s="179"/>
      <c r="IK76" s="179"/>
      <c r="IL76" s="179"/>
      <c r="IM76" s="179"/>
      <c r="IN76" s="179"/>
      <c r="IO76" s="179"/>
      <c r="IP76" s="179"/>
      <c r="IQ76" s="179"/>
      <c r="IR76" s="179"/>
      <c r="IS76" s="179"/>
      <c r="IT76" s="179"/>
      <c r="IU76" s="179"/>
      <c r="IV76" s="179"/>
    </row>
    <row r="77" spans="1:256" s="40" customFormat="1" ht="19.5" customHeight="1" thickBot="1">
      <c r="A77" s="241" t="s">
        <v>19</v>
      </c>
      <c r="B77" s="242">
        <f>SUM(B78)</f>
        <v>9179</v>
      </c>
      <c r="C77" s="243">
        <f aca="true" t="shared" si="26" ref="C77:V77">SUM(C78)</f>
        <v>1000</v>
      </c>
      <c r="D77" s="243">
        <f t="shared" si="26"/>
        <v>4900</v>
      </c>
      <c r="E77" s="243">
        <f t="shared" si="26"/>
        <v>8400</v>
      </c>
      <c r="F77" s="243">
        <f t="shared" si="26"/>
        <v>1000</v>
      </c>
      <c r="G77" s="243">
        <f t="shared" si="26"/>
        <v>1600</v>
      </c>
      <c r="H77" s="243">
        <f t="shared" si="26"/>
        <v>11000</v>
      </c>
      <c r="I77" s="102">
        <f t="shared" si="26"/>
        <v>3079</v>
      </c>
      <c r="J77" s="242">
        <f t="shared" si="26"/>
        <v>8161</v>
      </c>
      <c r="K77" s="243">
        <f t="shared" si="26"/>
        <v>1000</v>
      </c>
      <c r="L77" s="243">
        <f t="shared" si="26"/>
        <v>283</v>
      </c>
      <c r="M77" s="243">
        <f t="shared" si="26"/>
        <v>0</v>
      </c>
      <c r="N77" s="102">
        <f t="shared" si="26"/>
        <v>8444</v>
      </c>
      <c r="O77" s="242">
        <f t="shared" si="26"/>
        <v>438</v>
      </c>
      <c r="P77" s="243">
        <f t="shared" si="26"/>
        <v>220</v>
      </c>
      <c r="Q77" s="243">
        <f t="shared" si="26"/>
        <v>210</v>
      </c>
      <c r="R77" s="102">
        <f t="shared" si="26"/>
        <v>228</v>
      </c>
      <c r="S77" s="242">
        <f t="shared" si="26"/>
        <v>894</v>
      </c>
      <c r="T77" s="243">
        <f t="shared" si="26"/>
        <v>894</v>
      </c>
      <c r="U77" s="243">
        <f t="shared" si="26"/>
        <v>400</v>
      </c>
      <c r="V77" s="102">
        <f t="shared" si="26"/>
        <v>494</v>
      </c>
      <c r="W77" s="240"/>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c r="CL77" s="179"/>
      <c r="CM77" s="179"/>
      <c r="CN77" s="179"/>
      <c r="CO77" s="179"/>
      <c r="CP77" s="179"/>
      <c r="CQ77" s="179"/>
      <c r="CR77" s="179"/>
      <c r="CS77" s="179"/>
      <c r="CT77" s="179"/>
      <c r="CU77" s="179"/>
      <c r="CV77" s="179"/>
      <c r="CW77" s="179"/>
      <c r="CX77" s="179"/>
      <c r="CY77" s="179"/>
      <c r="CZ77" s="179"/>
      <c r="DA77" s="179"/>
      <c r="DB77" s="179"/>
      <c r="DC77" s="179"/>
      <c r="DD77" s="179"/>
      <c r="DE77" s="179"/>
      <c r="DF77" s="179"/>
      <c r="DG77" s="179"/>
      <c r="DH77" s="179"/>
      <c r="DI77" s="179"/>
      <c r="DJ77" s="179"/>
      <c r="DK77" s="179"/>
      <c r="DL77" s="179"/>
      <c r="DM77" s="179"/>
      <c r="DN77" s="179"/>
      <c r="DO77" s="179"/>
      <c r="DP77" s="179"/>
      <c r="DQ77" s="179"/>
      <c r="DR77" s="179"/>
      <c r="DS77" s="179"/>
      <c r="DT77" s="179"/>
      <c r="DU77" s="179"/>
      <c r="DV77" s="179"/>
      <c r="DW77" s="179"/>
      <c r="DX77" s="179"/>
      <c r="DY77" s="179"/>
      <c r="DZ77" s="179"/>
      <c r="EA77" s="179"/>
      <c r="EB77" s="179"/>
      <c r="EC77" s="179"/>
      <c r="ED77" s="179"/>
      <c r="EE77" s="179"/>
      <c r="EF77" s="179"/>
      <c r="EG77" s="179"/>
      <c r="EH77" s="179"/>
      <c r="EI77" s="179"/>
      <c r="EJ77" s="179"/>
      <c r="EK77" s="179"/>
      <c r="EL77" s="179"/>
      <c r="EM77" s="179"/>
      <c r="EN77" s="179"/>
      <c r="EO77" s="179"/>
      <c r="EP77" s="179"/>
      <c r="EQ77" s="179"/>
      <c r="ER77" s="179"/>
      <c r="ES77" s="179"/>
      <c r="ET77" s="179"/>
      <c r="EU77" s="179"/>
      <c r="EV77" s="179"/>
      <c r="EW77" s="179"/>
      <c r="EX77" s="179"/>
      <c r="EY77" s="179"/>
      <c r="EZ77" s="179"/>
      <c r="FA77" s="179"/>
      <c r="FB77" s="179"/>
      <c r="FC77" s="179"/>
      <c r="FD77" s="179"/>
      <c r="FE77" s="179"/>
      <c r="FF77" s="179"/>
      <c r="FG77" s="179"/>
      <c r="FH77" s="179"/>
      <c r="FI77" s="179"/>
      <c r="FJ77" s="179"/>
      <c r="FK77" s="179"/>
      <c r="FL77" s="179"/>
      <c r="FM77" s="179"/>
      <c r="FN77" s="179"/>
      <c r="FO77" s="179"/>
      <c r="FP77" s="179"/>
      <c r="FQ77" s="179"/>
      <c r="FR77" s="179"/>
      <c r="FS77" s="179"/>
      <c r="FT77" s="179"/>
      <c r="FU77" s="179"/>
      <c r="FV77" s="179"/>
      <c r="FW77" s="179"/>
      <c r="FX77" s="179"/>
      <c r="FY77" s="179"/>
      <c r="FZ77" s="179"/>
      <c r="GA77" s="179"/>
      <c r="GB77" s="179"/>
      <c r="GC77" s="179"/>
      <c r="GD77" s="179"/>
      <c r="GE77" s="179"/>
      <c r="GF77" s="179"/>
      <c r="GG77" s="179"/>
      <c r="GH77" s="179"/>
      <c r="GI77" s="179"/>
      <c r="GJ77" s="179"/>
      <c r="GK77" s="179"/>
      <c r="GL77" s="179"/>
      <c r="GM77" s="179"/>
      <c r="GN77" s="179"/>
      <c r="GO77" s="179"/>
      <c r="GP77" s="179"/>
      <c r="GQ77" s="179"/>
      <c r="GR77" s="179"/>
      <c r="GS77" s="179"/>
      <c r="GT77" s="179"/>
      <c r="GU77" s="179"/>
      <c r="GV77" s="179"/>
      <c r="GW77" s="179"/>
      <c r="GX77" s="179"/>
      <c r="GY77" s="179"/>
      <c r="GZ77" s="179"/>
      <c r="HA77" s="179"/>
      <c r="HB77" s="179"/>
      <c r="HC77" s="179"/>
      <c r="HD77" s="179"/>
      <c r="HE77" s="179"/>
      <c r="HF77" s="179"/>
      <c r="HG77" s="179"/>
      <c r="HH77" s="179"/>
      <c r="HI77" s="179"/>
      <c r="HJ77" s="179"/>
      <c r="HK77" s="179"/>
      <c r="HL77" s="179"/>
      <c r="HM77" s="179"/>
      <c r="HN77" s="179"/>
      <c r="HO77" s="179"/>
      <c r="HP77" s="179"/>
      <c r="HQ77" s="179"/>
      <c r="HR77" s="179"/>
      <c r="HS77" s="179"/>
      <c r="HT77" s="179"/>
      <c r="HU77" s="179"/>
      <c r="HV77" s="179"/>
      <c r="HW77" s="179"/>
      <c r="HX77" s="179"/>
      <c r="HY77" s="179"/>
      <c r="HZ77" s="179"/>
      <c r="IA77" s="179"/>
      <c r="IB77" s="179"/>
      <c r="IC77" s="179"/>
      <c r="ID77" s="179"/>
      <c r="IE77" s="179"/>
      <c r="IF77" s="179"/>
      <c r="IG77" s="179"/>
      <c r="IH77" s="179"/>
      <c r="II77" s="179"/>
      <c r="IJ77" s="179"/>
      <c r="IK77" s="179"/>
      <c r="IL77" s="179"/>
      <c r="IM77" s="179"/>
      <c r="IN77" s="179"/>
      <c r="IO77" s="179"/>
      <c r="IP77" s="179"/>
      <c r="IQ77" s="179"/>
      <c r="IR77" s="179"/>
      <c r="IS77" s="179"/>
      <c r="IT77" s="179"/>
      <c r="IU77" s="179"/>
      <c r="IV77" s="179"/>
    </row>
    <row r="78" spans="1:256" s="324" customFormat="1" ht="19.5" customHeight="1" thickBot="1">
      <c r="A78" s="354" t="s">
        <v>71</v>
      </c>
      <c r="B78" s="355">
        <v>9179</v>
      </c>
      <c r="C78" s="414">
        <v>1000</v>
      </c>
      <c r="D78" s="342">
        <v>4900</v>
      </c>
      <c r="E78" s="343">
        <v>8400</v>
      </c>
      <c r="F78" s="343">
        <v>1000</v>
      </c>
      <c r="G78" s="343">
        <v>1600</v>
      </c>
      <c r="H78" s="345">
        <f>E78+F78+G78</f>
        <v>11000</v>
      </c>
      <c r="I78" s="344">
        <f>B78+D78-H78</f>
        <v>3079</v>
      </c>
      <c r="J78" s="355">
        <v>8161</v>
      </c>
      <c r="K78" s="414">
        <v>1000</v>
      </c>
      <c r="L78" s="342">
        <v>283</v>
      </c>
      <c r="M78" s="343">
        <v>0</v>
      </c>
      <c r="N78" s="345">
        <f>J78+L78-M78</f>
        <v>8444</v>
      </c>
      <c r="O78" s="355">
        <f>160+278</f>
        <v>438</v>
      </c>
      <c r="P78" s="342">
        <v>220</v>
      </c>
      <c r="Q78" s="343">
        <v>210</v>
      </c>
      <c r="R78" s="344">
        <f>O78-Q78</f>
        <v>228</v>
      </c>
      <c r="S78" s="342">
        <f>100+794</f>
        <v>894</v>
      </c>
      <c r="T78" s="342">
        <f>100+794</f>
        <v>894</v>
      </c>
      <c r="U78" s="343">
        <v>400</v>
      </c>
      <c r="V78" s="344">
        <f>S78-U78</f>
        <v>494</v>
      </c>
      <c r="W78" s="356"/>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23"/>
      <c r="CR78" s="323"/>
      <c r="CS78" s="323"/>
      <c r="CT78" s="323"/>
      <c r="CU78" s="323"/>
      <c r="CV78" s="323"/>
      <c r="CW78" s="323"/>
      <c r="CX78" s="323"/>
      <c r="CY78" s="323"/>
      <c r="CZ78" s="323"/>
      <c r="DA78" s="323"/>
      <c r="DB78" s="323"/>
      <c r="DC78" s="323"/>
      <c r="DD78" s="323"/>
      <c r="DE78" s="323"/>
      <c r="DF78" s="323"/>
      <c r="DG78" s="323"/>
      <c r="DH78" s="323"/>
      <c r="DI78" s="323"/>
      <c r="DJ78" s="323"/>
      <c r="DK78" s="323"/>
      <c r="DL78" s="323"/>
      <c r="DM78" s="323"/>
      <c r="DN78" s="323"/>
      <c r="DO78" s="323"/>
      <c r="DP78" s="323"/>
      <c r="DQ78" s="323"/>
      <c r="DR78" s="323"/>
      <c r="DS78" s="323"/>
      <c r="DT78" s="323"/>
      <c r="DU78" s="323"/>
      <c r="DV78" s="323"/>
      <c r="DW78" s="323"/>
      <c r="DX78" s="323"/>
      <c r="DY78" s="323"/>
      <c r="DZ78" s="323"/>
      <c r="EA78" s="323"/>
      <c r="EB78" s="323"/>
      <c r="EC78" s="323"/>
      <c r="ED78" s="323"/>
      <c r="EE78" s="323"/>
      <c r="EF78" s="323"/>
      <c r="EG78" s="323"/>
      <c r="EH78" s="323"/>
      <c r="EI78" s="323"/>
      <c r="EJ78" s="323"/>
      <c r="EK78" s="323"/>
      <c r="EL78" s="323"/>
      <c r="EM78" s="323"/>
      <c r="EN78" s="323"/>
      <c r="EO78" s="323"/>
      <c r="EP78" s="323"/>
      <c r="EQ78" s="323"/>
      <c r="ER78" s="323"/>
      <c r="ES78" s="323"/>
      <c r="ET78" s="323"/>
      <c r="EU78" s="323"/>
      <c r="EV78" s="323"/>
      <c r="EW78" s="323"/>
      <c r="EX78" s="323"/>
      <c r="EY78" s="323"/>
      <c r="EZ78" s="323"/>
      <c r="FA78" s="323"/>
      <c r="FB78" s="323"/>
      <c r="FC78" s="323"/>
      <c r="FD78" s="323"/>
      <c r="FE78" s="323"/>
      <c r="FF78" s="323"/>
      <c r="FG78" s="323"/>
      <c r="FH78" s="323"/>
      <c r="FI78" s="323"/>
      <c r="FJ78" s="323"/>
      <c r="FK78" s="323"/>
      <c r="FL78" s="323"/>
      <c r="FM78" s="323"/>
      <c r="FN78" s="323"/>
      <c r="FO78" s="323"/>
      <c r="FP78" s="323"/>
      <c r="FQ78" s="323"/>
      <c r="FR78" s="323"/>
      <c r="FS78" s="323"/>
      <c r="FT78" s="323"/>
      <c r="FU78" s="323"/>
      <c r="FV78" s="323"/>
      <c r="FW78" s="323"/>
      <c r="FX78" s="323"/>
      <c r="FY78" s="323"/>
      <c r="FZ78" s="323"/>
      <c r="GA78" s="323"/>
      <c r="GB78" s="323"/>
      <c r="GC78" s="323"/>
      <c r="GD78" s="323"/>
      <c r="GE78" s="323"/>
      <c r="GF78" s="323"/>
      <c r="GG78" s="323"/>
      <c r="GH78" s="323"/>
      <c r="GI78" s="323"/>
      <c r="GJ78" s="323"/>
      <c r="GK78" s="323"/>
      <c r="GL78" s="323"/>
      <c r="GM78" s="323"/>
      <c r="GN78" s="323"/>
      <c r="GO78" s="323"/>
      <c r="GP78" s="323"/>
      <c r="GQ78" s="323"/>
      <c r="GR78" s="323"/>
      <c r="GS78" s="323"/>
      <c r="GT78" s="323"/>
      <c r="GU78" s="323"/>
      <c r="GV78" s="323"/>
      <c r="GW78" s="323"/>
      <c r="GX78" s="323"/>
      <c r="GY78" s="323"/>
      <c r="GZ78" s="323"/>
      <c r="HA78" s="323"/>
      <c r="HB78" s="323"/>
      <c r="HC78" s="323"/>
      <c r="HD78" s="323"/>
      <c r="HE78" s="323"/>
      <c r="HF78" s="323"/>
      <c r="HG78" s="323"/>
      <c r="HH78" s="323"/>
      <c r="HI78" s="323"/>
      <c r="HJ78" s="323"/>
      <c r="HK78" s="323"/>
      <c r="HL78" s="323"/>
      <c r="HM78" s="323"/>
      <c r="HN78" s="323"/>
      <c r="HO78" s="323"/>
      <c r="HP78" s="323"/>
      <c r="HQ78" s="323"/>
      <c r="HR78" s="323"/>
      <c r="HS78" s="323"/>
      <c r="HT78" s="323"/>
      <c r="HU78" s="323"/>
      <c r="HV78" s="323"/>
      <c r="HW78" s="323"/>
      <c r="HX78" s="323"/>
      <c r="HY78" s="323"/>
      <c r="HZ78" s="323"/>
      <c r="IA78" s="323"/>
      <c r="IB78" s="323"/>
      <c r="IC78" s="323"/>
      <c r="ID78" s="323"/>
      <c r="IE78" s="323"/>
      <c r="IF78" s="323"/>
      <c r="IG78" s="323"/>
      <c r="IH78" s="323"/>
      <c r="II78" s="323"/>
      <c r="IJ78" s="323"/>
      <c r="IK78" s="323"/>
      <c r="IL78" s="323"/>
      <c r="IM78" s="323"/>
      <c r="IN78" s="323"/>
      <c r="IO78" s="323"/>
      <c r="IP78" s="323"/>
      <c r="IQ78" s="323"/>
      <c r="IR78" s="323"/>
      <c r="IS78" s="323"/>
      <c r="IT78" s="323"/>
      <c r="IU78" s="323"/>
      <c r="IV78" s="323"/>
    </row>
    <row r="79" spans="1:256" s="235" customFormat="1" ht="19.5" customHeight="1" thickBot="1">
      <c r="A79" s="166" t="s">
        <v>20</v>
      </c>
      <c r="B79" s="167">
        <f>SUM(B80:B84)</f>
        <v>387</v>
      </c>
      <c r="C79" s="165">
        <f aca="true" t="shared" si="27" ref="C79:V79">SUM(C80:C84)</f>
        <v>387</v>
      </c>
      <c r="D79" s="165">
        <f t="shared" si="27"/>
        <v>147</v>
      </c>
      <c r="E79" s="165">
        <f t="shared" si="27"/>
        <v>70</v>
      </c>
      <c r="F79" s="165">
        <f t="shared" si="27"/>
        <v>0</v>
      </c>
      <c r="G79" s="165">
        <f t="shared" si="27"/>
        <v>0</v>
      </c>
      <c r="H79" s="165">
        <f t="shared" si="27"/>
        <v>119</v>
      </c>
      <c r="I79" s="29">
        <f t="shared" si="27"/>
        <v>415</v>
      </c>
      <c r="J79" s="167">
        <f t="shared" si="27"/>
        <v>61</v>
      </c>
      <c r="K79" s="165">
        <f t="shared" si="27"/>
        <v>61</v>
      </c>
      <c r="L79" s="165">
        <f t="shared" si="27"/>
        <v>8</v>
      </c>
      <c r="M79" s="165">
        <f t="shared" si="27"/>
        <v>22</v>
      </c>
      <c r="N79" s="29">
        <f t="shared" si="27"/>
        <v>47</v>
      </c>
      <c r="O79" s="167">
        <f t="shared" si="27"/>
        <v>216</v>
      </c>
      <c r="P79" s="165">
        <f t="shared" si="27"/>
        <v>216</v>
      </c>
      <c r="Q79" s="165">
        <f t="shared" si="27"/>
        <v>169</v>
      </c>
      <c r="R79" s="29">
        <f t="shared" si="27"/>
        <v>47</v>
      </c>
      <c r="S79" s="167">
        <f t="shared" si="27"/>
        <v>28</v>
      </c>
      <c r="T79" s="165">
        <f t="shared" si="27"/>
        <v>28</v>
      </c>
      <c r="U79" s="165">
        <f t="shared" si="27"/>
        <v>28</v>
      </c>
      <c r="V79" s="29">
        <f t="shared" si="27"/>
        <v>0</v>
      </c>
      <c r="W79" s="193"/>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c r="FZ79" s="86"/>
      <c r="GA79" s="86"/>
      <c r="GB79" s="86"/>
      <c r="GC79" s="86"/>
      <c r="GD79" s="86"/>
      <c r="GE79" s="86"/>
      <c r="GF79" s="86"/>
      <c r="GG79" s="86"/>
      <c r="GH79" s="86"/>
      <c r="GI79" s="86"/>
      <c r="GJ79" s="86"/>
      <c r="GK79" s="86"/>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6"/>
      <c r="HL79" s="86"/>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6"/>
      <c r="IM79" s="86"/>
      <c r="IN79" s="86"/>
      <c r="IO79" s="86"/>
      <c r="IP79" s="86"/>
      <c r="IQ79" s="86"/>
      <c r="IR79" s="86"/>
      <c r="IS79" s="86"/>
      <c r="IT79" s="86"/>
      <c r="IU79" s="86"/>
      <c r="IV79" s="86"/>
    </row>
    <row r="80" spans="1:256" s="40" customFormat="1" ht="19.5" customHeight="1">
      <c r="A80" s="244" t="s">
        <v>133</v>
      </c>
      <c r="B80" s="175">
        <v>7</v>
      </c>
      <c r="C80" s="176">
        <v>7</v>
      </c>
      <c r="D80" s="176">
        <v>28</v>
      </c>
      <c r="E80" s="177">
        <v>0</v>
      </c>
      <c r="F80" s="177">
        <v>0</v>
      </c>
      <c r="G80" s="177">
        <v>0</v>
      </c>
      <c r="H80" s="178">
        <v>18</v>
      </c>
      <c r="I80" s="70">
        <f>B80+D80-H80</f>
        <v>17</v>
      </c>
      <c r="J80" s="175">
        <v>13</v>
      </c>
      <c r="K80" s="176">
        <v>13</v>
      </c>
      <c r="L80" s="176">
        <v>1</v>
      </c>
      <c r="M80" s="177">
        <v>0</v>
      </c>
      <c r="N80" s="178">
        <f>J80+L80-M80</f>
        <v>14</v>
      </c>
      <c r="O80" s="175">
        <f>11+22</f>
        <v>33</v>
      </c>
      <c r="P80" s="176">
        <v>33</v>
      </c>
      <c r="Q80" s="177">
        <v>33</v>
      </c>
      <c r="R80" s="70">
        <f>O80-Q80</f>
        <v>0</v>
      </c>
      <c r="S80" s="175">
        <v>0</v>
      </c>
      <c r="T80" s="176">
        <v>0</v>
      </c>
      <c r="U80" s="177">
        <v>0</v>
      </c>
      <c r="V80" s="38">
        <f>S80-U80</f>
        <v>0</v>
      </c>
      <c r="W80" s="240"/>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c r="CZ80" s="179"/>
      <c r="DA80" s="179"/>
      <c r="DB80" s="179"/>
      <c r="DC80" s="179"/>
      <c r="DD80" s="179"/>
      <c r="DE80" s="179"/>
      <c r="DF80" s="179"/>
      <c r="DG80" s="179"/>
      <c r="DH80" s="179"/>
      <c r="DI80" s="179"/>
      <c r="DJ80" s="179"/>
      <c r="DK80" s="179"/>
      <c r="DL80" s="179"/>
      <c r="DM80" s="179"/>
      <c r="DN80" s="179"/>
      <c r="DO80" s="179"/>
      <c r="DP80" s="179"/>
      <c r="DQ80" s="179"/>
      <c r="DR80" s="179"/>
      <c r="DS80" s="179"/>
      <c r="DT80" s="179"/>
      <c r="DU80" s="179"/>
      <c r="DV80" s="179"/>
      <c r="DW80" s="179"/>
      <c r="DX80" s="179"/>
      <c r="DY80" s="179"/>
      <c r="DZ80" s="179"/>
      <c r="EA80" s="179"/>
      <c r="EB80" s="179"/>
      <c r="EC80" s="179"/>
      <c r="ED80" s="179"/>
      <c r="EE80" s="179"/>
      <c r="EF80" s="179"/>
      <c r="EG80" s="179"/>
      <c r="EH80" s="179"/>
      <c r="EI80" s="179"/>
      <c r="EJ80" s="179"/>
      <c r="EK80" s="179"/>
      <c r="EL80" s="179"/>
      <c r="EM80" s="179"/>
      <c r="EN80" s="179"/>
      <c r="EO80" s="179"/>
      <c r="EP80" s="179"/>
      <c r="EQ80" s="179"/>
      <c r="ER80" s="179"/>
      <c r="ES80" s="179"/>
      <c r="ET80" s="179"/>
      <c r="EU80" s="179"/>
      <c r="EV80" s="179"/>
      <c r="EW80" s="179"/>
      <c r="EX80" s="179"/>
      <c r="EY80" s="179"/>
      <c r="EZ80" s="179"/>
      <c r="FA80" s="179"/>
      <c r="FB80" s="179"/>
      <c r="FC80" s="179"/>
      <c r="FD80" s="179"/>
      <c r="FE80" s="179"/>
      <c r="FF80" s="179"/>
      <c r="FG80" s="179"/>
      <c r="FH80" s="179"/>
      <c r="FI80" s="179"/>
      <c r="FJ80" s="179"/>
      <c r="FK80" s="179"/>
      <c r="FL80" s="179"/>
      <c r="FM80" s="179"/>
      <c r="FN80" s="179"/>
      <c r="FO80" s="179"/>
      <c r="FP80" s="179"/>
      <c r="FQ80" s="179"/>
      <c r="FR80" s="179"/>
      <c r="FS80" s="179"/>
      <c r="FT80" s="179"/>
      <c r="FU80" s="179"/>
      <c r="FV80" s="179"/>
      <c r="FW80" s="179"/>
      <c r="FX80" s="179"/>
      <c r="FY80" s="179"/>
      <c r="FZ80" s="179"/>
      <c r="GA80" s="179"/>
      <c r="GB80" s="179"/>
      <c r="GC80" s="179"/>
      <c r="GD80" s="179"/>
      <c r="GE80" s="179"/>
      <c r="GF80" s="179"/>
      <c r="GG80" s="179"/>
      <c r="GH80" s="179"/>
      <c r="GI80" s="179"/>
      <c r="GJ80" s="179"/>
      <c r="GK80" s="179"/>
      <c r="GL80" s="179"/>
      <c r="GM80" s="179"/>
      <c r="GN80" s="179"/>
      <c r="GO80" s="179"/>
      <c r="GP80" s="179"/>
      <c r="GQ80" s="179"/>
      <c r="GR80" s="179"/>
      <c r="GS80" s="179"/>
      <c r="GT80" s="179"/>
      <c r="GU80" s="179"/>
      <c r="GV80" s="179"/>
      <c r="GW80" s="179"/>
      <c r="GX80" s="179"/>
      <c r="GY80" s="179"/>
      <c r="GZ80" s="179"/>
      <c r="HA80" s="179"/>
      <c r="HB80" s="179"/>
      <c r="HC80" s="179"/>
      <c r="HD80" s="179"/>
      <c r="HE80" s="179"/>
      <c r="HF80" s="179"/>
      <c r="HG80" s="179"/>
      <c r="HH80" s="179"/>
      <c r="HI80" s="179"/>
      <c r="HJ80" s="179"/>
      <c r="HK80" s="179"/>
      <c r="HL80" s="179"/>
      <c r="HM80" s="179"/>
      <c r="HN80" s="179"/>
      <c r="HO80" s="179"/>
      <c r="HP80" s="179"/>
      <c r="HQ80" s="179"/>
      <c r="HR80" s="179"/>
      <c r="HS80" s="179"/>
      <c r="HT80" s="179"/>
      <c r="HU80" s="179"/>
      <c r="HV80" s="179"/>
      <c r="HW80" s="179"/>
      <c r="HX80" s="179"/>
      <c r="HY80" s="179"/>
      <c r="HZ80" s="179"/>
      <c r="IA80" s="179"/>
      <c r="IB80" s="179"/>
      <c r="IC80" s="179"/>
      <c r="ID80" s="179"/>
      <c r="IE80" s="179"/>
      <c r="IF80" s="179"/>
      <c r="IG80" s="179"/>
      <c r="IH80" s="179"/>
      <c r="II80" s="179"/>
      <c r="IJ80" s="179"/>
      <c r="IK80" s="179"/>
      <c r="IL80" s="179"/>
      <c r="IM80" s="179"/>
      <c r="IN80" s="179"/>
      <c r="IO80" s="179"/>
      <c r="IP80" s="179"/>
      <c r="IQ80" s="179"/>
      <c r="IR80" s="179"/>
      <c r="IS80" s="179"/>
      <c r="IT80" s="179"/>
      <c r="IU80" s="179"/>
      <c r="IV80" s="179"/>
    </row>
    <row r="81" spans="1:256" s="40" customFormat="1" ht="19.5" customHeight="1">
      <c r="A81" s="245" t="s">
        <v>21</v>
      </c>
      <c r="B81" s="168">
        <v>2</v>
      </c>
      <c r="C81" s="169">
        <v>2</v>
      </c>
      <c r="D81" s="169">
        <v>31</v>
      </c>
      <c r="E81" s="170">
        <v>0</v>
      </c>
      <c r="F81" s="170">
        <v>0</v>
      </c>
      <c r="G81" s="170">
        <v>0</v>
      </c>
      <c r="H81" s="171">
        <v>31</v>
      </c>
      <c r="I81" s="38">
        <f>B81+D81-H81</f>
        <v>2</v>
      </c>
      <c r="J81" s="168">
        <v>1</v>
      </c>
      <c r="K81" s="169">
        <v>1</v>
      </c>
      <c r="L81" s="169">
        <v>1</v>
      </c>
      <c r="M81" s="170">
        <v>0</v>
      </c>
      <c r="N81" s="171">
        <f>J81+L81-M81</f>
        <v>2</v>
      </c>
      <c r="O81" s="168">
        <f>37+34</f>
        <v>71</v>
      </c>
      <c r="P81" s="169">
        <v>71</v>
      </c>
      <c r="Q81" s="170">
        <v>43</v>
      </c>
      <c r="R81" s="38">
        <f>O81-Q81</f>
        <v>28</v>
      </c>
      <c r="S81" s="168">
        <v>0</v>
      </c>
      <c r="T81" s="169">
        <v>0</v>
      </c>
      <c r="U81" s="170">
        <v>0</v>
      </c>
      <c r="V81" s="38">
        <f>S81-U81</f>
        <v>0</v>
      </c>
      <c r="W81" s="240"/>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c r="EI81" s="179"/>
      <c r="EJ81" s="179"/>
      <c r="EK81" s="179"/>
      <c r="EL81" s="179"/>
      <c r="EM81" s="179"/>
      <c r="EN81" s="179"/>
      <c r="EO81" s="179"/>
      <c r="EP81" s="179"/>
      <c r="EQ81" s="179"/>
      <c r="ER81" s="179"/>
      <c r="ES81" s="179"/>
      <c r="ET81" s="179"/>
      <c r="EU81" s="179"/>
      <c r="EV81" s="179"/>
      <c r="EW81" s="179"/>
      <c r="EX81" s="179"/>
      <c r="EY81" s="179"/>
      <c r="EZ81" s="179"/>
      <c r="FA81" s="179"/>
      <c r="FB81" s="179"/>
      <c r="FC81" s="179"/>
      <c r="FD81" s="179"/>
      <c r="FE81" s="179"/>
      <c r="FF81" s="179"/>
      <c r="FG81" s="179"/>
      <c r="FH81" s="179"/>
      <c r="FI81" s="179"/>
      <c r="FJ81" s="179"/>
      <c r="FK81" s="179"/>
      <c r="FL81" s="179"/>
      <c r="FM81" s="179"/>
      <c r="FN81" s="179"/>
      <c r="FO81" s="179"/>
      <c r="FP81" s="179"/>
      <c r="FQ81" s="179"/>
      <c r="FR81" s="179"/>
      <c r="FS81" s="179"/>
      <c r="FT81" s="179"/>
      <c r="FU81" s="179"/>
      <c r="FV81" s="179"/>
      <c r="FW81" s="179"/>
      <c r="FX81" s="179"/>
      <c r="FY81" s="179"/>
      <c r="FZ81" s="179"/>
      <c r="GA81" s="179"/>
      <c r="GB81" s="179"/>
      <c r="GC81" s="179"/>
      <c r="GD81" s="179"/>
      <c r="GE81" s="179"/>
      <c r="GF81" s="179"/>
      <c r="GG81" s="179"/>
      <c r="GH81" s="179"/>
      <c r="GI81" s="179"/>
      <c r="GJ81" s="179"/>
      <c r="GK81" s="179"/>
      <c r="GL81" s="179"/>
      <c r="GM81" s="179"/>
      <c r="GN81" s="179"/>
      <c r="GO81" s="179"/>
      <c r="GP81" s="179"/>
      <c r="GQ81" s="179"/>
      <c r="GR81" s="179"/>
      <c r="GS81" s="179"/>
      <c r="GT81" s="179"/>
      <c r="GU81" s="179"/>
      <c r="GV81" s="179"/>
      <c r="GW81" s="179"/>
      <c r="GX81" s="179"/>
      <c r="GY81" s="179"/>
      <c r="GZ81" s="179"/>
      <c r="HA81" s="179"/>
      <c r="HB81" s="179"/>
      <c r="HC81" s="179"/>
      <c r="HD81" s="179"/>
      <c r="HE81" s="179"/>
      <c r="HF81" s="179"/>
      <c r="HG81" s="179"/>
      <c r="HH81" s="179"/>
      <c r="HI81" s="179"/>
      <c r="HJ81" s="179"/>
      <c r="HK81" s="179"/>
      <c r="HL81" s="179"/>
      <c r="HM81" s="179"/>
      <c r="HN81" s="179"/>
      <c r="HO81" s="179"/>
      <c r="HP81" s="179"/>
      <c r="HQ81" s="179"/>
      <c r="HR81" s="179"/>
      <c r="HS81" s="179"/>
      <c r="HT81" s="179"/>
      <c r="HU81" s="179"/>
      <c r="HV81" s="179"/>
      <c r="HW81" s="179"/>
      <c r="HX81" s="179"/>
      <c r="HY81" s="179"/>
      <c r="HZ81" s="179"/>
      <c r="IA81" s="179"/>
      <c r="IB81" s="179"/>
      <c r="IC81" s="179"/>
      <c r="ID81" s="179"/>
      <c r="IE81" s="179"/>
      <c r="IF81" s="179"/>
      <c r="IG81" s="179"/>
      <c r="IH81" s="179"/>
      <c r="II81" s="179"/>
      <c r="IJ81" s="179"/>
      <c r="IK81" s="179"/>
      <c r="IL81" s="179"/>
      <c r="IM81" s="179"/>
      <c r="IN81" s="179"/>
      <c r="IO81" s="179"/>
      <c r="IP81" s="179"/>
      <c r="IQ81" s="179"/>
      <c r="IR81" s="179"/>
      <c r="IS81" s="179"/>
      <c r="IT81" s="179"/>
      <c r="IU81" s="179"/>
      <c r="IV81" s="179"/>
    </row>
    <row r="82" spans="1:256" s="40" customFormat="1" ht="19.5" customHeight="1">
      <c r="A82" s="245" t="s">
        <v>22</v>
      </c>
      <c r="B82" s="168">
        <v>0</v>
      </c>
      <c r="C82" s="169">
        <v>0</v>
      </c>
      <c r="D82" s="169">
        <v>0</v>
      </c>
      <c r="E82" s="170">
        <v>0</v>
      </c>
      <c r="F82" s="170">
        <v>0</v>
      </c>
      <c r="G82" s="170">
        <v>0</v>
      </c>
      <c r="H82" s="171">
        <v>0</v>
      </c>
      <c r="I82" s="38">
        <f>B82+D82-H82</f>
        <v>0</v>
      </c>
      <c r="J82" s="168">
        <v>2</v>
      </c>
      <c r="K82" s="169">
        <v>2</v>
      </c>
      <c r="L82" s="169">
        <v>0</v>
      </c>
      <c r="M82" s="170">
        <v>2</v>
      </c>
      <c r="N82" s="171">
        <f>J82+L82-M82</f>
        <v>0</v>
      </c>
      <c r="O82" s="168">
        <f>26</f>
        <v>26</v>
      </c>
      <c r="P82" s="169">
        <v>26</v>
      </c>
      <c r="Q82" s="170">
        <v>20</v>
      </c>
      <c r="R82" s="38">
        <f>O82-Q82</f>
        <v>6</v>
      </c>
      <c r="S82" s="168">
        <v>0</v>
      </c>
      <c r="T82" s="169">
        <v>0</v>
      </c>
      <c r="U82" s="170">
        <v>0</v>
      </c>
      <c r="V82" s="38">
        <f>S82-U82</f>
        <v>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ht="19.5" customHeight="1">
      <c r="A83" s="246" t="s">
        <v>23</v>
      </c>
      <c r="B83" s="168">
        <v>194</v>
      </c>
      <c r="C83" s="169">
        <v>194</v>
      </c>
      <c r="D83" s="169">
        <v>48</v>
      </c>
      <c r="E83" s="170">
        <v>70</v>
      </c>
      <c r="F83" s="170">
        <v>0</v>
      </c>
      <c r="G83" s="170">
        <v>0</v>
      </c>
      <c r="H83" s="171">
        <v>70</v>
      </c>
      <c r="I83" s="38">
        <f>B83+D83-H83</f>
        <v>172</v>
      </c>
      <c r="J83" s="168">
        <v>44</v>
      </c>
      <c r="K83" s="169">
        <v>44</v>
      </c>
      <c r="L83" s="222">
        <v>6</v>
      </c>
      <c r="M83" s="223">
        <v>20</v>
      </c>
      <c r="N83" s="171">
        <f>J83+L83-M83</f>
        <v>30</v>
      </c>
      <c r="O83" s="168">
        <v>37</v>
      </c>
      <c r="P83" s="169">
        <v>37</v>
      </c>
      <c r="Q83" s="170">
        <v>30</v>
      </c>
      <c r="R83" s="38">
        <f>O83-Q83</f>
        <v>7</v>
      </c>
      <c r="S83" s="221">
        <v>28</v>
      </c>
      <c r="T83" s="222">
        <v>28</v>
      </c>
      <c r="U83" s="223">
        <v>28</v>
      </c>
      <c r="V83" s="38">
        <f>S83-U83</f>
        <v>0</v>
      </c>
      <c r="W83" s="193"/>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c r="IO83" s="86"/>
      <c r="IP83" s="86"/>
      <c r="IQ83" s="86"/>
      <c r="IR83" s="86"/>
      <c r="IS83" s="86"/>
      <c r="IT83" s="86"/>
      <c r="IU83" s="86"/>
      <c r="IV83" s="86"/>
    </row>
    <row r="84" spans="1:256" s="40" customFormat="1" ht="19.5" customHeight="1" thickBot="1">
      <c r="A84" s="247" t="s">
        <v>33</v>
      </c>
      <c r="B84" s="205">
        <v>184</v>
      </c>
      <c r="C84" s="207">
        <v>184</v>
      </c>
      <c r="D84" s="207">
        <v>40</v>
      </c>
      <c r="E84" s="207">
        <v>0</v>
      </c>
      <c r="F84" s="207">
        <v>0</v>
      </c>
      <c r="G84" s="207">
        <v>0</v>
      </c>
      <c r="H84" s="395">
        <v>0</v>
      </c>
      <c r="I84" s="396">
        <f>B84+D84-H84</f>
        <v>224</v>
      </c>
      <c r="J84" s="397">
        <v>1</v>
      </c>
      <c r="K84" s="395">
        <v>1</v>
      </c>
      <c r="L84" s="395">
        <v>0</v>
      </c>
      <c r="M84" s="395">
        <v>0</v>
      </c>
      <c r="N84" s="208">
        <f>J84+L84-M84</f>
        <v>1</v>
      </c>
      <c r="O84" s="205">
        <f>17+32</f>
        <v>49</v>
      </c>
      <c r="P84" s="207">
        <v>49</v>
      </c>
      <c r="Q84" s="207">
        <v>43</v>
      </c>
      <c r="R84" s="208">
        <f>O84-Q84</f>
        <v>6</v>
      </c>
      <c r="S84" s="205">
        <v>0</v>
      </c>
      <c r="T84" s="207">
        <v>0</v>
      </c>
      <c r="U84" s="207">
        <v>0</v>
      </c>
      <c r="V84" s="63">
        <f>S84-U84</f>
        <v>0</v>
      </c>
      <c r="W84" s="240"/>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79"/>
      <c r="CG84" s="179"/>
      <c r="CH84" s="179"/>
      <c r="CI84" s="179"/>
      <c r="CJ84" s="179"/>
      <c r="CK84" s="179"/>
      <c r="CL84" s="179"/>
      <c r="CM84" s="179"/>
      <c r="CN84" s="179"/>
      <c r="CO84" s="179"/>
      <c r="CP84" s="179"/>
      <c r="CQ84" s="179"/>
      <c r="CR84" s="179"/>
      <c r="CS84" s="179"/>
      <c r="CT84" s="179"/>
      <c r="CU84" s="179"/>
      <c r="CV84" s="179"/>
      <c r="CW84" s="179"/>
      <c r="CX84" s="179"/>
      <c r="CY84" s="179"/>
      <c r="CZ84" s="179"/>
      <c r="DA84" s="179"/>
      <c r="DB84" s="179"/>
      <c r="DC84" s="179"/>
      <c r="DD84" s="179"/>
      <c r="DE84" s="179"/>
      <c r="DF84" s="179"/>
      <c r="DG84" s="179"/>
      <c r="DH84" s="179"/>
      <c r="DI84" s="179"/>
      <c r="DJ84" s="179"/>
      <c r="DK84" s="179"/>
      <c r="DL84" s="179"/>
      <c r="DM84" s="179"/>
      <c r="DN84" s="179"/>
      <c r="DO84" s="179"/>
      <c r="DP84" s="179"/>
      <c r="DQ84" s="179"/>
      <c r="DR84" s="179"/>
      <c r="DS84" s="179"/>
      <c r="DT84" s="179"/>
      <c r="DU84" s="179"/>
      <c r="DV84" s="179"/>
      <c r="DW84" s="179"/>
      <c r="DX84" s="179"/>
      <c r="DY84" s="179"/>
      <c r="DZ84" s="179"/>
      <c r="EA84" s="179"/>
      <c r="EB84" s="179"/>
      <c r="EC84" s="179"/>
      <c r="ED84" s="179"/>
      <c r="EE84" s="179"/>
      <c r="EF84" s="179"/>
      <c r="EG84" s="179"/>
      <c r="EH84" s="179"/>
      <c r="EI84" s="179"/>
      <c r="EJ84" s="179"/>
      <c r="EK84" s="179"/>
      <c r="EL84" s="179"/>
      <c r="EM84" s="179"/>
      <c r="EN84" s="179"/>
      <c r="EO84" s="179"/>
      <c r="EP84" s="179"/>
      <c r="EQ84" s="179"/>
      <c r="ER84" s="179"/>
      <c r="ES84" s="179"/>
      <c r="ET84" s="179"/>
      <c r="EU84" s="179"/>
      <c r="EV84" s="179"/>
      <c r="EW84" s="179"/>
      <c r="EX84" s="179"/>
      <c r="EY84" s="179"/>
      <c r="EZ84" s="179"/>
      <c r="FA84" s="179"/>
      <c r="FB84" s="179"/>
      <c r="FC84" s="179"/>
      <c r="FD84" s="179"/>
      <c r="FE84" s="179"/>
      <c r="FF84" s="179"/>
      <c r="FG84" s="179"/>
      <c r="FH84" s="179"/>
      <c r="FI84" s="179"/>
      <c r="FJ84" s="179"/>
      <c r="FK84" s="179"/>
      <c r="FL84" s="179"/>
      <c r="FM84" s="179"/>
      <c r="FN84" s="179"/>
      <c r="FO84" s="179"/>
      <c r="FP84" s="179"/>
      <c r="FQ84" s="179"/>
      <c r="FR84" s="179"/>
      <c r="FS84" s="179"/>
      <c r="FT84" s="179"/>
      <c r="FU84" s="179"/>
      <c r="FV84" s="179"/>
      <c r="FW84" s="179"/>
      <c r="FX84" s="179"/>
      <c r="FY84" s="179"/>
      <c r="FZ84" s="179"/>
      <c r="GA84" s="179"/>
      <c r="GB84" s="179"/>
      <c r="GC84" s="179"/>
      <c r="GD84" s="179"/>
      <c r="GE84" s="179"/>
      <c r="GF84" s="179"/>
      <c r="GG84" s="179"/>
      <c r="GH84" s="179"/>
      <c r="GI84" s="179"/>
      <c r="GJ84" s="179"/>
      <c r="GK84" s="179"/>
      <c r="GL84" s="179"/>
      <c r="GM84" s="179"/>
      <c r="GN84" s="179"/>
      <c r="GO84" s="179"/>
      <c r="GP84" s="179"/>
      <c r="GQ84" s="179"/>
      <c r="GR84" s="179"/>
      <c r="GS84" s="179"/>
      <c r="GT84" s="179"/>
      <c r="GU84" s="179"/>
      <c r="GV84" s="179"/>
      <c r="GW84" s="179"/>
      <c r="GX84" s="179"/>
      <c r="GY84" s="179"/>
      <c r="GZ84" s="179"/>
      <c r="HA84" s="179"/>
      <c r="HB84" s="179"/>
      <c r="HC84" s="179"/>
      <c r="HD84" s="179"/>
      <c r="HE84" s="179"/>
      <c r="HF84" s="179"/>
      <c r="HG84" s="179"/>
      <c r="HH84" s="179"/>
      <c r="HI84" s="179"/>
      <c r="HJ84" s="179"/>
      <c r="HK84" s="179"/>
      <c r="HL84" s="179"/>
      <c r="HM84" s="179"/>
      <c r="HN84" s="179"/>
      <c r="HO84" s="179"/>
      <c r="HP84" s="179"/>
      <c r="HQ84" s="179"/>
      <c r="HR84" s="179"/>
      <c r="HS84" s="179"/>
      <c r="HT84" s="179"/>
      <c r="HU84" s="179"/>
      <c r="HV84" s="179"/>
      <c r="HW84" s="179"/>
      <c r="HX84" s="179"/>
      <c r="HY84" s="179"/>
      <c r="HZ84" s="179"/>
      <c r="IA84" s="179"/>
      <c r="IB84" s="179"/>
      <c r="IC84" s="179"/>
      <c r="ID84" s="179"/>
      <c r="IE84" s="179"/>
      <c r="IF84" s="179"/>
      <c r="IG84" s="179"/>
      <c r="IH84" s="179"/>
      <c r="II84" s="179"/>
      <c r="IJ84" s="179"/>
      <c r="IK84" s="179"/>
      <c r="IL84" s="179"/>
      <c r="IM84" s="179"/>
      <c r="IN84" s="179"/>
      <c r="IO84" s="179"/>
      <c r="IP84" s="179"/>
      <c r="IQ84" s="179"/>
      <c r="IR84" s="179"/>
      <c r="IS84" s="179"/>
      <c r="IT84" s="179"/>
      <c r="IU84" s="179"/>
      <c r="IV84" s="179"/>
    </row>
    <row r="85" spans="1:256" ht="19.5" customHeight="1" thickBot="1">
      <c r="A85" s="166" t="s">
        <v>24</v>
      </c>
      <c r="B85" s="252">
        <f aca="true" t="shared" si="28" ref="B85:V85">SUM(B86:B86)</f>
        <v>845</v>
      </c>
      <c r="C85" s="253">
        <f t="shared" si="28"/>
        <v>845</v>
      </c>
      <c r="D85" s="253">
        <f t="shared" si="28"/>
        <v>834</v>
      </c>
      <c r="E85" s="253">
        <f t="shared" si="28"/>
        <v>85</v>
      </c>
      <c r="F85" s="253">
        <f t="shared" si="28"/>
        <v>0</v>
      </c>
      <c r="G85" s="253">
        <f t="shared" si="28"/>
        <v>260</v>
      </c>
      <c r="H85" s="398">
        <f t="shared" si="28"/>
        <v>660</v>
      </c>
      <c r="I85" s="399">
        <f t="shared" si="28"/>
        <v>1019</v>
      </c>
      <c r="J85" s="400">
        <f t="shared" si="28"/>
        <v>127</v>
      </c>
      <c r="K85" s="401">
        <f t="shared" si="28"/>
        <v>127</v>
      </c>
      <c r="L85" s="401">
        <f t="shared" si="28"/>
        <v>42</v>
      </c>
      <c r="M85" s="401">
        <f t="shared" si="28"/>
        <v>150</v>
      </c>
      <c r="N85" s="255">
        <f t="shared" si="28"/>
        <v>19</v>
      </c>
      <c r="O85" s="252">
        <f t="shared" si="28"/>
        <v>162</v>
      </c>
      <c r="P85" s="253">
        <f t="shared" si="28"/>
        <v>162</v>
      </c>
      <c r="Q85" s="253">
        <f t="shared" si="28"/>
        <v>136</v>
      </c>
      <c r="R85" s="255">
        <f t="shared" si="28"/>
        <v>26</v>
      </c>
      <c r="S85" s="252">
        <f t="shared" si="28"/>
        <v>167</v>
      </c>
      <c r="T85" s="253">
        <f t="shared" si="28"/>
        <v>167</v>
      </c>
      <c r="U85" s="253">
        <f t="shared" si="28"/>
        <v>167</v>
      </c>
      <c r="V85" s="255">
        <f t="shared" si="28"/>
        <v>0</v>
      </c>
      <c r="W85" s="1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9.5" customHeight="1" thickBot="1">
      <c r="A86" s="244" t="s">
        <v>129</v>
      </c>
      <c r="B86" s="256">
        <v>845</v>
      </c>
      <c r="C86" s="257">
        <v>845</v>
      </c>
      <c r="D86" s="2">
        <v>834</v>
      </c>
      <c r="E86" s="1">
        <v>85</v>
      </c>
      <c r="F86" s="2">
        <v>0</v>
      </c>
      <c r="G86" s="256">
        <f>345-85</f>
        <v>260</v>
      </c>
      <c r="H86" s="402">
        <f>315+E86+F86+G86</f>
        <v>660</v>
      </c>
      <c r="I86" s="403">
        <f>B86+D86-H86</f>
        <v>1019</v>
      </c>
      <c r="J86" s="404">
        <v>127</v>
      </c>
      <c r="K86" s="405">
        <v>127</v>
      </c>
      <c r="L86" s="406">
        <v>42</v>
      </c>
      <c r="M86" s="407">
        <v>150</v>
      </c>
      <c r="N86" s="59">
        <f>J86+L86-M86</f>
        <v>19</v>
      </c>
      <c r="O86" s="261">
        <f>87+75</f>
        <v>162</v>
      </c>
      <c r="P86" s="257">
        <v>162</v>
      </c>
      <c r="Q86" s="256">
        <v>136</v>
      </c>
      <c r="R86" s="59">
        <f>O86-Q86</f>
        <v>26</v>
      </c>
      <c r="S86" s="261">
        <v>167</v>
      </c>
      <c r="T86" s="256">
        <v>167</v>
      </c>
      <c r="U86" s="256">
        <v>167</v>
      </c>
      <c r="V86" s="59">
        <f>S86-U86</f>
        <v>0</v>
      </c>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35" ht="19.5" customHeight="1" thickBot="1">
      <c r="A87" s="268" t="s">
        <v>52</v>
      </c>
      <c r="B87" s="242">
        <f>SUM(B88)</f>
        <v>188</v>
      </c>
      <c r="C87" s="243">
        <f aca="true" t="shared" si="29" ref="C87:V87">SUM(C88)</f>
        <v>188</v>
      </c>
      <c r="D87" s="243">
        <f t="shared" si="29"/>
        <v>127</v>
      </c>
      <c r="E87" s="243">
        <f t="shared" si="29"/>
        <v>0</v>
      </c>
      <c r="F87" s="243">
        <f t="shared" si="29"/>
        <v>0</v>
      </c>
      <c r="G87" s="243">
        <f t="shared" si="29"/>
        <v>0</v>
      </c>
      <c r="H87" s="408">
        <f t="shared" si="29"/>
        <v>0</v>
      </c>
      <c r="I87" s="409">
        <f t="shared" si="29"/>
        <v>315</v>
      </c>
      <c r="J87" s="410">
        <f t="shared" si="29"/>
        <v>2765</v>
      </c>
      <c r="K87" s="408">
        <f t="shared" si="29"/>
        <v>2765</v>
      </c>
      <c r="L87" s="408">
        <f t="shared" si="29"/>
        <v>2225</v>
      </c>
      <c r="M87" s="408">
        <f t="shared" si="29"/>
        <v>2227</v>
      </c>
      <c r="N87" s="102">
        <f t="shared" si="29"/>
        <v>2763</v>
      </c>
      <c r="O87" s="242">
        <f t="shared" si="29"/>
        <v>63</v>
      </c>
      <c r="P87" s="243">
        <f t="shared" si="29"/>
        <v>63</v>
      </c>
      <c r="Q87" s="243">
        <f t="shared" si="29"/>
        <v>40</v>
      </c>
      <c r="R87" s="102">
        <f t="shared" si="29"/>
        <v>23</v>
      </c>
      <c r="S87" s="242">
        <f t="shared" si="29"/>
        <v>109</v>
      </c>
      <c r="T87" s="243">
        <f t="shared" si="29"/>
        <v>109</v>
      </c>
      <c r="U87" s="243">
        <f t="shared" si="29"/>
        <v>60</v>
      </c>
      <c r="V87" s="102">
        <f t="shared" si="29"/>
        <v>49</v>
      </c>
      <c r="W87" s="193"/>
      <c r="X87" s="86"/>
      <c r="Y87" s="86"/>
      <c r="Z87" s="86"/>
      <c r="AA87" s="86"/>
      <c r="AB87" s="86"/>
      <c r="AC87" s="86"/>
      <c r="AD87" s="86"/>
      <c r="AE87" s="86"/>
      <c r="AF87" s="86"/>
      <c r="AG87" s="86"/>
      <c r="AH87" s="86"/>
      <c r="AI87" s="86"/>
    </row>
    <row r="88" spans="1:35" ht="24" customHeight="1" thickBot="1">
      <c r="A88" s="434" t="s">
        <v>281</v>
      </c>
      <c r="B88" s="355">
        <v>188</v>
      </c>
      <c r="C88" s="343">
        <v>188</v>
      </c>
      <c r="D88" s="343">
        <v>127</v>
      </c>
      <c r="E88" s="343">
        <v>0</v>
      </c>
      <c r="F88" s="343">
        <v>0</v>
      </c>
      <c r="G88" s="343">
        <v>0</v>
      </c>
      <c r="H88" s="411">
        <v>0</v>
      </c>
      <c r="I88" s="412">
        <f>B88+D88-H88</f>
        <v>315</v>
      </c>
      <c r="J88" s="413">
        <f>538+2227</f>
        <v>2765</v>
      </c>
      <c r="K88" s="414">
        <f>538+2227</f>
        <v>2765</v>
      </c>
      <c r="L88" s="414">
        <f>225+2000</f>
        <v>2225</v>
      </c>
      <c r="M88" s="411">
        <v>2227</v>
      </c>
      <c r="N88" s="345">
        <f>J88+L88-M88</f>
        <v>2763</v>
      </c>
      <c r="O88" s="355">
        <f>30+33</f>
        <v>63</v>
      </c>
      <c r="P88" s="342">
        <v>63</v>
      </c>
      <c r="Q88" s="343">
        <v>40</v>
      </c>
      <c r="R88" s="344">
        <f>O88-Q88</f>
        <v>23</v>
      </c>
      <c r="S88" s="355">
        <f>60+49</f>
        <v>109</v>
      </c>
      <c r="T88" s="343">
        <f>60+49</f>
        <v>109</v>
      </c>
      <c r="U88" s="343">
        <v>60</v>
      </c>
      <c r="V88" s="344">
        <f>S88-U88</f>
        <v>49</v>
      </c>
      <c r="W88" s="363"/>
      <c r="X88" s="364"/>
      <c r="Y88" s="364"/>
      <c r="Z88" s="364"/>
      <c r="AA88" s="364"/>
      <c r="AB88" s="364"/>
      <c r="AC88" s="364"/>
      <c r="AD88" s="364"/>
      <c r="AE88" s="364"/>
      <c r="AF88" s="364"/>
      <c r="AG88" s="364"/>
      <c r="AH88" s="364"/>
      <c r="AI88" s="364"/>
    </row>
    <row r="89" spans="1:35" ht="19.5" customHeight="1" thickBot="1">
      <c r="A89" s="268" t="s">
        <v>28</v>
      </c>
      <c r="B89" s="167">
        <f>SUM(B90:B98)</f>
        <v>2494</v>
      </c>
      <c r="C89" s="165">
        <f aca="true" t="shared" si="30" ref="C89:V89">SUM(C90:C98)</f>
        <v>2494</v>
      </c>
      <c r="D89" s="165">
        <f t="shared" si="30"/>
        <v>2661</v>
      </c>
      <c r="E89" s="165">
        <f t="shared" si="30"/>
        <v>1080</v>
      </c>
      <c r="F89" s="165">
        <f t="shared" si="30"/>
        <v>0</v>
      </c>
      <c r="G89" s="165">
        <f t="shared" si="30"/>
        <v>390</v>
      </c>
      <c r="H89" s="415">
        <f t="shared" si="30"/>
        <v>2362</v>
      </c>
      <c r="I89" s="416">
        <f t="shared" si="30"/>
        <v>2793</v>
      </c>
      <c r="J89" s="417">
        <f t="shared" si="30"/>
        <v>1676</v>
      </c>
      <c r="K89" s="415">
        <f t="shared" si="30"/>
        <v>1668</v>
      </c>
      <c r="L89" s="415">
        <f t="shared" si="30"/>
        <v>856</v>
      </c>
      <c r="M89" s="415">
        <f t="shared" si="30"/>
        <v>1249</v>
      </c>
      <c r="N89" s="29">
        <f t="shared" si="30"/>
        <v>1283</v>
      </c>
      <c r="O89" s="167">
        <f t="shared" si="30"/>
        <v>1168</v>
      </c>
      <c r="P89" s="165">
        <f t="shared" si="30"/>
        <v>1136</v>
      </c>
      <c r="Q89" s="165">
        <f t="shared" si="30"/>
        <v>771</v>
      </c>
      <c r="R89" s="29">
        <f t="shared" si="30"/>
        <v>397</v>
      </c>
      <c r="S89" s="167">
        <f t="shared" si="30"/>
        <v>64</v>
      </c>
      <c r="T89" s="165">
        <f t="shared" si="30"/>
        <v>65</v>
      </c>
      <c r="U89" s="165">
        <f t="shared" si="30"/>
        <v>31</v>
      </c>
      <c r="V89" s="29">
        <f t="shared" si="30"/>
        <v>33</v>
      </c>
      <c r="W89" s="193"/>
      <c r="X89" s="86"/>
      <c r="Y89" s="86"/>
      <c r="Z89" s="86"/>
      <c r="AA89" s="270"/>
      <c r="AB89" s="86"/>
      <c r="AC89" s="86"/>
      <c r="AD89" s="86"/>
      <c r="AE89" s="86"/>
      <c r="AF89" s="86"/>
      <c r="AG89" s="86"/>
      <c r="AH89" s="86"/>
      <c r="AI89" s="86"/>
    </row>
    <row r="90" spans="1:35" s="40" customFormat="1" ht="19.5" customHeight="1">
      <c r="A90" s="373" t="s">
        <v>134</v>
      </c>
      <c r="B90" s="175">
        <v>23</v>
      </c>
      <c r="C90" s="177">
        <v>23</v>
      </c>
      <c r="D90" s="177">
        <v>267</v>
      </c>
      <c r="E90" s="177">
        <v>0</v>
      </c>
      <c r="F90" s="177">
        <v>0</v>
      </c>
      <c r="G90" s="177">
        <v>0</v>
      </c>
      <c r="H90" s="418">
        <v>91</v>
      </c>
      <c r="I90" s="419">
        <f aca="true" t="shared" si="31" ref="I90:I98">B90+D90-H90</f>
        <v>199</v>
      </c>
      <c r="J90" s="420">
        <f>45+196</f>
        <v>241</v>
      </c>
      <c r="K90" s="418">
        <v>241</v>
      </c>
      <c r="L90" s="418">
        <v>330</v>
      </c>
      <c r="M90" s="418">
        <v>370</v>
      </c>
      <c r="N90" s="70">
        <f aca="true" t="shared" si="32" ref="N90:N97">J90+L90-M90</f>
        <v>201</v>
      </c>
      <c r="O90" s="262">
        <v>76</v>
      </c>
      <c r="P90" s="264">
        <v>73</v>
      </c>
      <c r="Q90" s="264">
        <v>72</v>
      </c>
      <c r="R90" s="70">
        <f>O90-Q90</f>
        <v>4</v>
      </c>
      <c r="S90" s="175">
        <v>23</v>
      </c>
      <c r="T90" s="177">
        <v>23</v>
      </c>
      <c r="U90" s="177">
        <v>0</v>
      </c>
      <c r="V90" s="70">
        <f aca="true" t="shared" si="33" ref="V90:V97">S90-U90</f>
        <v>23</v>
      </c>
      <c r="W90" s="240"/>
      <c r="X90" s="179"/>
      <c r="Y90" s="179"/>
      <c r="Z90" s="179"/>
      <c r="AA90" s="179"/>
      <c r="AB90" s="179"/>
      <c r="AC90" s="179"/>
      <c r="AD90" s="179"/>
      <c r="AE90" s="179"/>
      <c r="AF90" s="179"/>
      <c r="AG90" s="179"/>
      <c r="AH90" s="179"/>
      <c r="AI90" s="179"/>
    </row>
    <row r="91" spans="1:35" s="40" customFormat="1" ht="19.5" customHeight="1">
      <c r="A91" s="245" t="s">
        <v>135</v>
      </c>
      <c r="B91" s="168">
        <v>229</v>
      </c>
      <c r="C91" s="170">
        <v>229</v>
      </c>
      <c r="D91" s="170">
        <v>158</v>
      </c>
      <c r="E91" s="170">
        <v>0</v>
      </c>
      <c r="F91" s="170">
        <v>0</v>
      </c>
      <c r="G91" s="170">
        <v>0</v>
      </c>
      <c r="H91" s="390">
        <v>80</v>
      </c>
      <c r="I91" s="392">
        <f t="shared" si="31"/>
        <v>307</v>
      </c>
      <c r="J91" s="388">
        <f>66+15</f>
        <v>81</v>
      </c>
      <c r="K91" s="390">
        <v>73</v>
      </c>
      <c r="L91" s="390">
        <v>2</v>
      </c>
      <c r="M91" s="390">
        <v>15</v>
      </c>
      <c r="N91" s="38">
        <f t="shared" si="32"/>
        <v>68</v>
      </c>
      <c r="O91" s="168">
        <v>252</v>
      </c>
      <c r="P91" s="170">
        <v>234</v>
      </c>
      <c r="Q91" s="170">
        <v>35</v>
      </c>
      <c r="R91" s="38">
        <f aca="true" t="shared" si="34" ref="R91:R98">O91-Q91</f>
        <v>217</v>
      </c>
      <c r="S91" s="168">
        <v>0</v>
      </c>
      <c r="T91" s="170">
        <v>0</v>
      </c>
      <c r="U91" s="170">
        <v>0</v>
      </c>
      <c r="V91" s="38">
        <f t="shared" si="33"/>
        <v>0</v>
      </c>
      <c r="W91" s="240"/>
      <c r="X91" s="179"/>
      <c r="Y91" s="179"/>
      <c r="Z91" s="179"/>
      <c r="AA91" s="179"/>
      <c r="AB91" s="179"/>
      <c r="AC91" s="179"/>
      <c r="AD91" s="179"/>
      <c r="AE91" s="179"/>
      <c r="AF91" s="179"/>
      <c r="AG91" s="179"/>
      <c r="AH91" s="179"/>
      <c r="AI91" s="179"/>
    </row>
    <row r="92" spans="1:35" s="40" customFormat="1" ht="19.5" customHeight="1">
      <c r="A92" s="141" t="s">
        <v>136</v>
      </c>
      <c r="B92" s="168">
        <v>666</v>
      </c>
      <c r="C92" s="170">
        <v>666</v>
      </c>
      <c r="D92" s="170">
        <v>392</v>
      </c>
      <c r="E92" s="170">
        <v>100</v>
      </c>
      <c r="F92" s="170">
        <v>0</v>
      </c>
      <c r="G92" s="170">
        <v>120</v>
      </c>
      <c r="H92" s="390">
        <f>100+120+86</f>
        <v>306</v>
      </c>
      <c r="I92" s="392">
        <f t="shared" si="31"/>
        <v>752</v>
      </c>
      <c r="J92" s="388">
        <v>340</v>
      </c>
      <c r="K92" s="390">
        <v>340</v>
      </c>
      <c r="L92" s="390">
        <v>107</v>
      </c>
      <c r="M92" s="390">
        <v>250</v>
      </c>
      <c r="N92" s="38">
        <f t="shared" si="32"/>
        <v>197</v>
      </c>
      <c r="O92" s="168">
        <f>36+55</f>
        <v>91</v>
      </c>
      <c r="P92" s="170">
        <f>31+55</f>
        <v>86</v>
      </c>
      <c r="Q92" s="170">
        <v>72</v>
      </c>
      <c r="R92" s="38">
        <f t="shared" si="34"/>
        <v>19</v>
      </c>
      <c r="S92" s="168">
        <f>21+2</f>
        <v>23</v>
      </c>
      <c r="T92" s="170">
        <v>23</v>
      </c>
      <c r="U92" s="170">
        <v>23</v>
      </c>
      <c r="V92" s="38">
        <f t="shared" si="33"/>
        <v>0</v>
      </c>
      <c r="W92" s="240"/>
      <c r="X92" s="179"/>
      <c r="Y92" s="179"/>
      <c r="Z92" s="179"/>
      <c r="AA92" s="179"/>
      <c r="AB92" s="179"/>
      <c r="AC92" s="179"/>
      <c r="AD92" s="179"/>
      <c r="AE92" s="179"/>
      <c r="AF92" s="179"/>
      <c r="AG92" s="179"/>
      <c r="AH92" s="179"/>
      <c r="AI92" s="179"/>
    </row>
    <row r="93" spans="1:35" s="40" customFormat="1" ht="19.5" customHeight="1">
      <c r="A93" s="245" t="s">
        <v>137</v>
      </c>
      <c r="B93" s="168">
        <v>396</v>
      </c>
      <c r="C93" s="170">
        <v>396</v>
      </c>
      <c r="D93" s="170">
        <v>332</v>
      </c>
      <c r="E93" s="170">
        <v>380</v>
      </c>
      <c r="F93" s="170">
        <v>0</v>
      </c>
      <c r="G93" s="170">
        <v>0</v>
      </c>
      <c r="H93" s="390">
        <f>380+158</f>
        <v>538</v>
      </c>
      <c r="I93" s="392">
        <f t="shared" si="31"/>
        <v>190</v>
      </c>
      <c r="J93" s="388">
        <v>63</v>
      </c>
      <c r="K93" s="390">
        <v>63</v>
      </c>
      <c r="L93" s="390">
        <v>201</v>
      </c>
      <c r="M93" s="390">
        <v>264</v>
      </c>
      <c r="N93" s="38">
        <f t="shared" si="32"/>
        <v>0</v>
      </c>
      <c r="O93" s="168">
        <f>65+69</f>
        <v>134</v>
      </c>
      <c r="P93" s="170">
        <v>134</v>
      </c>
      <c r="Q93" s="170">
        <v>134</v>
      </c>
      <c r="R93" s="38">
        <f t="shared" si="34"/>
        <v>0</v>
      </c>
      <c r="S93" s="168">
        <v>8</v>
      </c>
      <c r="T93" s="170">
        <v>8</v>
      </c>
      <c r="U93" s="170">
        <v>8</v>
      </c>
      <c r="V93" s="38">
        <f t="shared" si="33"/>
        <v>0</v>
      </c>
      <c r="W93" s="240"/>
      <c r="X93" s="179"/>
      <c r="Y93" s="179"/>
      <c r="Z93" s="179"/>
      <c r="AA93" s="179"/>
      <c r="AB93" s="179"/>
      <c r="AC93" s="179"/>
      <c r="AD93" s="179"/>
      <c r="AE93" s="179"/>
      <c r="AF93" s="179"/>
      <c r="AG93" s="179"/>
      <c r="AH93" s="179"/>
      <c r="AI93" s="179"/>
    </row>
    <row r="94" spans="1:35" s="40" customFormat="1" ht="19.5" customHeight="1">
      <c r="A94" s="187" t="s">
        <v>138</v>
      </c>
      <c r="B94" s="168">
        <v>338</v>
      </c>
      <c r="C94" s="170">
        <v>338</v>
      </c>
      <c r="D94" s="170">
        <v>368</v>
      </c>
      <c r="E94" s="170">
        <v>0</v>
      </c>
      <c r="F94" s="170">
        <v>0</v>
      </c>
      <c r="G94" s="170">
        <v>270</v>
      </c>
      <c r="H94" s="170">
        <f>270+163</f>
        <v>433</v>
      </c>
      <c r="I94" s="38">
        <f t="shared" si="31"/>
        <v>273</v>
      </c>
      <c r="J94" s="168">
        <v>150</v>
      </c>
      <c r="K94" s="170">
        <v>150</v>
      </c>
      <c r="L94" s="170">
        <v>1</v>
      </c>
      <c r="M94" s="170">
        <v>0</v>
      </c>
      <c r="N94" s="38">
        <f t="shared" si="32"/>
        <v>151</v>
      </c>
      <c r="O94" s="168">
        <f>133+60</f>
        <v>193</v>
      </c>
      <c r="P94" s="170">
        <v>193</v>
      </c>
      <c r="Q94" s="170">
        <v>191</v>
      </c>
      <c r="R94" s="38">
        <f t="shared" si="34"/>
        <v>2</v>
      </c>
      <c r="S94" s="168">
        <v>2</v>
      </c>
      <c r="T94" s="170">
        <v>2</v>
      </c>
      <c r="U94" s="170">
        <v>0</v>
      </c>
      <c r="V94" s="38">
        <f t="shared" si="33"/>
        <v>2</v>
      </c>
      <c r="W94" s="240"/>
      <c r="X94" s="179"/>
      <c r="Y94" s="179"/>
      <c r="Z94" s="179"/>
      <c r="AA94" s="179"/>
      <c r="AB94" s="179"/>
      <c r="AC94" s="179"/>
      <c r="AD94" s="179"/>
      <c r="AE94" s="179"/>
      <c r="AF94" s="179"/>
      <c r="AG94" s="179"/>
      <c r="AH94" s="179"/>
      <c r="AI94" s="179"/>
    </row>
    <row r="95" spans="1:35" s="40" customFormat="1" ht="19.5" customHeight="1">
      <c r="A95" s="245" t="s">
        <v>139</v>
      </c>
      <c r="B95" s="168">
        <v>351</v>
      </c>
      <c r="C95" s="170">
        <v>351</v>
      </c>
      <c r="D95" s="170">
        <v>64</v>
      </c>
      <c r="E95" s="170">
        <v>0</v>
      </c>
      <c r="F95" s="170">
        <v>0</v>
      </c>
      <c r="G95" s="170">
        <v>0</v>
      </c>
      <c r="H95" s="170">
        <v>15</v>
      </c>
      <c r="I95" s="38">
        <f t="shared" si="31"/>
        <v>400</v>
      </c>
      <c r="J95" s="168">
        <v>292</v>
      </c>
      <c r="K95" s="170">
        <v>292</v>
      </c>
      <c r="L95" s="170">
        <v>3</v>
      </c>
      <c r="M95" s="170">
        <v>50</v>
      </c>
      <c r="N95" s="38">
        <f t="shared" si="32"/>
        <v>245</v>
      </c>
      <c r="O95" s="168">
        <f>26+26</f>
        <v>52</v>
      </c>
      <c r="P95" s="170">
        <v>52</v>
      </c>
      <c r="Q95" s="170">
        <v>45</v>
      </c>
      <c r="R95" s="38">
        <f t="shared" si="34"/>
        <v>7</v>
      </c>
      <c r="S95" s="168">
        <v>0</v>
      </c>
      <c r="T95" s="170">
        <v>0</v>
      </c>
      <c r="U95" s="170">
        <v>0</v>
      </c>
      <c r="V95" s="38">
        <f t="shared" si="33"/>
        <v>0</v>
      </c>
      <c r="W95" s="240"/>
      <c r="X95" s="179"/>
      <c r="Y95" s="179"/>
      <c r="Z95" s="179"/>
      <c r="AA95" s="179"/>
      <c r="AB95" s="179"/>
      <c r="AC95" s="179"/>
      <c r="AD95" s="179"/>
      <c r="AE95" s="179"/>
      <c r="AF95" s="179"/>
      <c r="AG95" s="179"/>
      <c r="AH95" s="179"/>
      <c r="AI95" s="179"/>
    </row>
    <row r="96" spans="1:35" s="40" customFormat="1" ht="19.5" customHeight="1">
      <c r="A96" s="182" t="s">
        <v>140</v>
      </c>
      <c r="B96" s="168">
        <v>318</v>
      </c>
      <c r="C96" s="170">
        <v>318</v>
      </c>
      <c r="D96" s="170">
        <v>267</v>
      </c>
      <c r="E96" s="170">
        <v>0</v>
      </c>
      <c r="F96" s="170">
        <v>0</v>
      </c>
      <c r="G96" s="170">
        <v>0</v>
      </c>
      <c r="H96" s="170">
        <v>125</v>
      </c>
      <c r="I96" s="38">
        <f t="shared" si="31"/>
        <v>460</v>
      </c>
      <c r="J96" s="168">
        <v>210</v>
      </c>
      <c r="K96" s="170">
        <v>210</v>
      </c>
      <c r="L96" s="170">
        <v>85</v>
      </c>
      <c r="M96" s="170">
        <v>50</v>
      </c>
      <c r="N96" s="38">
        <f t="shared" si="32"/>
        <v>245</v>
      </c>
      <c r="O96" s="168">
        <f>170+43</f>
        <v>213</v>
      </c>
      <c r="P96" s="170">
        <v>213</v>
      </c>
      <c r="Q96" s="170">
        <v>100</v>
      </c>
      <c r="R96" s="38">
        <f t="shared" si="34"/>
        <v>113</v>
      </c>
      <c r="S96" s="168">
        <v>8</v>
      </c>
      <c r="T96" s="170">
        <v>9</v>
      </c>
      <c r="U96" s="170">
        <v>0</v>
      </c>
      <c r="V96" s="38">
        <f t="shared" si="33"/>
        <v>8</v>
      </c>
      <c r="W96" s="240"/>
      <c r="X96" s="179"/>
      <c r="Y96" s="179"/>
      <c r="Z96" s="179"/>
      <c r="AA96" s="179"/>
      <c r="AB96" s="179"/>
      <c r="AC96" s="179"/>
      <c r="AD96" s="179"/>
      <c r="AE96" s="179"/>
      <c r="AF96" s="179"/>
      <c r="AG96" s="179"/>
      <c r="AH96" s="179"/>
      <c r="AI96" s="179"/>
    </row>
    <row r="97" spans="1:35" s="40" customFormat="1" ht="19.5" customHeight="1">
      <c r="A97" s="245" t="s">
        <v>280</v>
      </c>
      <c r="B97" s="168">
        <v>87</v>
      </c>
      <c r="C97" s="170">
        <v>87</v>
      </c>
      <c r="D97" s="170">
        <v>638</v>
      </c>
      <c r="E97" s="170">
        <v>600</v>
      </c>
      <c r="F97" s="170">
        <v>0</v>
      </c>
      <c r="G97" s="170">
        <v>0</v>
      </c>
      <c r="H97" s="170">
        <f>600+101</f>
        <v>701</v>
      </c>
      <c r="I97" s="38">
        <f t="shared" si="31"/>
        <v>24</v>
      </c>
      <c r="J97" s="168">
        <v>70</v>
      </c>
      <c r="K97" s="170">
        <v>70</v>
      </c>
      <c r="L97" s="170">
        <v>70</v>
      </c>
      <c r="M97" s="170">
        <v>70</v>
      </c>
      <c r="N97" s="38">
        <f t="shared" si="32"/>
        <v>70</v>
      </c>
      <c r="O97" s="168">
        <f>38+29</f>
        <v>67</v>
      </c>
      <c r="P97" s="170">
        <v>67</v>
      </c>
      <c r="Q97" s="170">
        <v>44</v>
      </c>
      <c r="R97" s="38">
        <f t="shared" si="34"/>
        <v>23</v>
      </c>
      <c r="S97" s="168">
        <v>0</v>
      </c>
      <c r="T97" s="170">
        <v>0</v>
      </c>
      <c r="U97" s="170">
        <v>0</v>
      </c>
      <c r="V97" s="38">
        <f t="shared" si="33"/>
        <v>0</v>
      </c>
      <c r="W97" s="240"/>
      <c r="X97" s="179"/>
      <c r="Y97" s="179"/>
      <c r="Z97" s="179"/>
      <c r="AA97" s="179"/>
      <c r="AB97" s="179"/>
      <c r="AC97" s="179"/>
      <c r="AD97" s="179"/>
      <c r="AE97" s="179"/>
      <c r="AF97" s="179"/>
      <c r="AG97" s="179"/>
      <c r="AH97" s="179"/>
      <c r="AI97" s="179"/>
    </row>
    <row r="98" spans="1:35" s="40" customFormat="1" ht="19.5" customHeight="1" thickBot="1">
      <c r="A98" s="272" t="s">
        <v>142</v>
      </c>
      <c r="B98" s="205">
        <v>86</v>
      </c>
      <c r="C98" s="207">
        <v>86</v>
      </c>
      <c r="D98" s="207">
        <v>175</v>
      </c>
      <c r="E98" s="207">
        <v>0</v>
      </c>
      <c r="F98" s="207">
        <v>0</v>
      </c>
      <c r="G98" s="207">
        <v>0</v>
      </c>
      <c r="H98" s="207">
        <v>73</v>
      </c>
      <c r="I98" s="63">
        <f t="shared" si="31"/>
        <v>188</v>
      </c>
      <c r="J98" s="205">
        <f>122+107</f>
        <v>229</v>
      </c>
      <c r="K98" s="207">
        <v>229</v>
      </c>
      <c r="L98" s="207">
        <v>57</v>
      </c>
      <c r="M98" s="207">
        <v>180</v>
      </c>
      <c r="N98" s="63">
        <f>J98+L98-M98</f>
        <v>106</v>
      </c>
      <c r="O98" s="374">
        <f>47+43</f>
        <v>90</v>
      </c>
      <c r="P98" s="375">
        <f>41+43</f>
        <v>84</v>
      </c>
      <c r="Q98" s="375">
        <v>78</v>
      </c>
      <c r="R98" s="63">
        <f t="shared" si="34"/>
        <v>12</v>
      </c>
      <c r="S98" s="205">
        <v>0</v>
      </c>
      <c r="T98" s="207">
        <v>0</v>
      </c>
      <c r="U98" s="207">
        <v>0</v>
      </c>
      <c r="V98" s="63">
        <f>S98-U98</f>
        <v>0</v>
      </c>
      <c r="W98" s="266"/>
      <c r="X98" s="179"/>
      <c r="Y98" s="179"/>
      <c r="Z98" s="179"/>
      <c r="AA98" s="179"/>
      <c r="AB98" s="179"/>
      <c r="AC98" s="179"/>
      <c r="AD98" s="179"/>
      <c r="AE98" s="179"/>
      <c r="AF98" s="179"/>
      <c r="AG98" s="179"/>
      <c r="AH98" s="179"/>
      <c r="AI98" s="179"/>
    </row>
    <row r="99" spans="1:35" s="40" customFormat="1" ht="12.75">
      <c r="A99" s="248"/>
      <c r="B99" s="210"/>
      <c r="C99" s="210"/>
      <c r="D99" s="210"/>
      <c r="E99" s="210"/>
      <c r="F99" s="210"/>
      <c r="G99" s="210"/>
      <c r="H99" s="210"/>
      <c r="I99" s="210"/>
      <c r="J99" s="210"/>
      <c r="K99" s="210"/>
      <c r="L99" s="210"/>
      <c r="M99" s="210"/>
      <c r="N99" s="210"/>
      <c r="O99" s="210"/>
      <c r="P99" s="210"/>
      <c r="Q99" s="210"/>
      <c r="R99" s="210"/>
      <c r="S99" s="210"/>
      <c r="T99" s="210"/>
      <c r="U99" s="210"/>
      <c r="V99" s="210"/>
      <c r="W99" s="267"/>
      <c r="X99" s="179"/>
      <c r="Y99" s="179"/>
      <c r="Z99" s="179"/>
      <c r="AA99" s="179"/>
      <c r="AB99" s="179"/>
      <c r="AC99" s="179"/>
      <c r="AD99" s="179"/>
      <c r="AE99" s="179"/>
      <c r="AF99" s="179"/>
      <c r="AG99" s="179"/>
      <c r="AH99" s="179"/>
      <c r="AI99" s="179"/>
    </row>
  </sheetData>
  <sheetProtection/>
  <mergeCells count="25">
    <mergeCell ref="S5:V5"/>
    <mergeCell ref="K6:K8"/>
    <mergeCell ref="D6:D8"/>
    <mergeCell ref="U6:U8"/>
    <mergeCell ref="B6:B8"/>
    <mergeCell ref="I6:I8"/>
    <mergeCell ref="R6:R8"/>
    <mergeCell ref="O6:O8"/>
    <mergeCell ref="V6:V8"/>
    <mergeCell ref="H7:H8"/>
    <mergeCell ref="C6:C8"/>
    <mergeCell ref="F7:F8"/>
    <mergeCell ref="L6:L8"/>
    <mergeCell ref="N6:N8"/>
    <mergeCell ref="A5:A8"/>
    <mergeCell ref="S6:S8"/>
    <mergeCell ref="T6:T8"/>
    <mergeCell ref="P6:P8"/>
    <mergeCell ref="Q6:Q8"/>
    <mergeCell ref="J6:J8"/>
    <mergeCell ref="A3:V3"/>
    <mergeCell ref="E7:E8"/>
    <mergeCell ref="O5:R5"/>
    <mergeCell ref="G7:G8"/>
    <mergeCell ref="M6:M8"/>
  </mergeCells>
  <printOptions horizontalCentered="1"/>
  <pageMargins left="0.2755905511811024" right="0.2755905511811024" top="0.5905511811023623" bottom="0.5905511811023623" header="0.11811023622047245" footer="0.11811023622047245"/>
  <pageSetup firstPageNumber="1" useFirstPageNumber="1" fitToHeight="3" fitToWidth="1" horizontalDpi="600" verticalDpi="600" orientation="landscape"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Palan</dc:creator>
  <cp:keywords/>
  <dc:description/>
  <cp:lastModifiedBy>Nevrkla Zdeněk Ing.</cp:lastModifiedBy>
  <cp:lastPrinted>2012-03-14T13:53:26Z</cp:lastPrinted>
  <dcterms:created xsi:type="dcterms:W3CDTF">2002-01-30T15:48:46Z</dcterms:created>
  <dcterms:modified xsi:type="dcterms:W3CDTF">2012-03-21T08:50:59Z</dcterms:modified>
  <cp:category/>
  <cp:version/>
  <cp:contentType/>
  <cp:contentStatus/>
</cp:coreProperties>
</file>